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activeTab="2"/>
  </bookViews>
  <sheets>
    <sheet name="DC Analysis" sheetId="1" r:id="rId1"/>
    <sheet name="AC Analysis" sheetId="2" r:id="rId2"/>
    <sheet name="Battery emergency capacity" sheetId="3" r:id="rId3"/>
  </sheets>
  <definedNames>
    <definedName name="MinCont">'Battery emergency capacity'!$M$2:$M$3</definedName>
    <definedName name="MinorCont">'Battery emergency capacity'!$D$13:$D$14</definedName>
    <definedName name="YESNO">'Battery emergency capacity'!$N$2:$N$3</definedName>
  </definedNames>
  <calcPr calcId="145621"/>
</workbook>
</file>

<file path=xl/calcChain.xml><?xml version="1.0" encoding="utf-8"?>
<calcChain xmlns="http://schemas.openxmlformats.org/spreadsheetml/2006/main">
  <c r="C23" i="3" l="1"/>
  <c r="F11" i="3"/>
  <c r="G11" i="3" s="1"/>
  <c r="F10" i="3"/>
  <c r="G10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F24" i="3"/>
  <c r="F12" i="3"/>
  <c r="G12" i="3" s="1"/>
  <c r="B11" i="3"/>
  <c r="B10" i="3"/>
  <c r="G23" i="3" l="1"/>
  <c r="G24" i="3" s="1"/>
  <c r="I18" i="3" s="1"/>
  <c r="D5" i="3"/>
  <c r="E5" i="3" s="1"/>
  <c r="H7" i="3" s="1"/>
  <c r="E7" i="3"/>
  <c r="I19" i="3" l="1"/>
  <c r="I23" i="3" l="1"/>
  <c r="AK6" i="2"/>
  <c r="AG10" i="2"/>
  <c r="AB10" i="2"/>
  <c r="W6" i="2"/>
  <c r="R6" i="2"/>
  <c r="N6" i="2"/>
  <c r="K10" i="2"/>
  <c r="O10" i="2" s="1"/>
  <c r="J5" i="2"/>
  <c r="AB5" i="2" s="1"/>
  <c r="J6" i="2"/>
  <c r="AB6" i="2" s="1"/>
  <c r="AE6" i="2" s="1"/>
  <c r="J7" i="2"/>
  <c r="AB7" i="2" s="1"/>
  <c r="J8" i="2"/>
  <c r="AG8" i="2" s="1"/>
  <c r="J9" i="2"/>
  <c r="AK9" i="2" s="1"/>
  <c r="J10" i="2"/>
  <c r="AK10" i="2" s="1"/>
  <c r="J4" i="2"/>
  <c r="AB4" i="2" s="1"/>
  <c r="L6" i="2"/>
  <c r="AM6" i="2" s="1"/>
  <c r="G5" i="2"/>
  <c r="H5" i="2" s="1"/>
  <c r="L5" i="2" s="1"/>
  <c r="G6" i="2"/>
  <c r="H6" i="2" s="1"/>
  <c r="G7" i="2"/>
  <c r="H7" i="2" s="1"/>
  <c r="L7" i="2" s="1"/>
  <c r="G8" i="2"/>
  <c r="H8" i="2" s="1"/>
  <c r="L8" i="2" s="1"/>
  <c r="G9" i="2"/>
  <c r="H9" i="2" s="1"/>
  <c r="L9" i="2" s="1"/>
  <c r="G10" i="2"/>
  <c r="H10" i="2" s="1"/>
  <c r="L10" i="2" s="1"/>
  <c r="G4" i="2"/>
  <c r="K4" i="2" s="1"/>
  <c r="Y10" i="2" l="1"/>
  <c r="T10" i="2"/>
  <c r="AM10" i="2"/>
  <c r="AI10" i="2"/>
  <c r="P10" i="2"/>
  <c r="AE10" i="2"/>
  <c r="T6" i="2"/>
  <c r="X10" i="2"/>
  <c r="AH10" i="2"/>
  <c r="N10" i="2"/>
  <c r="R8" i="2"/>
  <c r="W10" i="2"/>
  <c r="AG6" i="2"/>
  <c r="AK8" i="2"/>
  <c r="Y6" i="2"/>
  <c r="S10" i="2"/>
  <c r="AC10" i="2"/>
  <c r="AL10" i="2"/>
  <c r="AB8" i="2"/>
  <c r="AE8" i="2" s="1"/>
  <c r="K6" i="2"/>
  <c r="W8" i="2"/>
  <c r="AI6" i="2"/>
  <c r="N8" i="2"/>
  <c r="R10" i="2"/>
  <c r="P6" i="2"/>
  <c r="I22" i="3"/>
  <c r="AG9" i="2"/>
  <c r="N9" i="2"/>
  <c r="R9" i="2"/>
  <c r="W9" i="2"/>
  <c r="AB9" i="2"/>
  <c r="AE9" i="2" s="1"/>
  <c r="AG7" i="2"/>
  <c r="R7" i="2"/>
  <c r="AK7" i="2"/>
  <c r="N7" i="2"/>
  <c r="W7" i="2"/>
  <c r="W5" i="2"/>
  <c r="AG5" i="2"/>
  <c r="N5" i="2"/>
  <c r="R5" i="2"/>
  <c r="AK5" i="2"/>
  <c r="W4" i="2"/>
  <c r="R4" i="2"/>
  <c r="AK4" i="2"/>
  <c r="N4" i="2"/>
  <c r="AG4" i="2"/>
  <c r="AI5" i="2"/>
  <c r="P5" i="2"/>
  <c r="AM5" i="2"/>
  <c r="T5" i="2"/>
  <c r="Y5" i="2"/>
  <c r="AE5" i="2"/>
  <c r="K5" i="2"/>
  <c r="X4" i="2"/>
  <c r="O4" i="2"/>
  <c r="S4" i="2"/>
  <c r="AH4" i="2"/>
  <c r="AL4" i="2"/>
  <c r="AC4" i="2"/>
  <c r="P8" i="2"/>
  <c r="Y8" i="2"/>
  <c r="AM8" i="2"/>
  <c r="AI8" i="2"/>
  <c r="T8" i="2"/>
  <c r="K8" i="2"/>
  <c r="AI9" i="2"/>
  <c r="Y9" i="2"/>
  <c r="AM9" i="2"/>
  <c r="T9" i="2"/>
  <c r="P9" i="2"/>
  <c r="K9" i="2"/>
  <c r="AE7" i="2"/>
  <c r="P7" i="2"/>
  <c r="AI7" i="2"/>
  <c r="AM7" i="2"/>
  <c r="T7" i="2"/>
  <c r="Y7" i="2"/>
  <c r="K7" i="2"/>
  <c r="H4" i="2"/>
  <c r="L4" i="2" s="1"/>
  <c r="AD5" i="2"/>
  <c r="AH6" i="2" l="1"/>
  <c r="X6" i="2"/>
  <c r="AL6" i="2"/>
  <c r="AC6" i="2"/>
  <c r="S6" i="2"/>
  <c r="O6" i="2"/>
  <c r="AC5" i="2"/>
  <c r="S5" i="2"/>
  <c r="AH5" i="2"/>
  <c r="O5" i="2"/>
  <c r="AL5" i="2"/>
  <c r="AL11" i="2" s="1"/>
  <c r="X5" i="2"/>
  <c r="AE4" i="2"/>
  <c r="P4" i="2"/>
  <c r="Y4" i="2"/>
  <c r="AM4" i="2"/>
  <c r="AI4" i="2"/>
  <c r="T4" i="2"/>
  <c r="X8" i="2"/>
  <c r="AL8" i="2"/>
  <c r="S8" i="2"/>
  <c r="O8" i="2"/>
  <c r="AC8" i="2"/>
  <c r="AH8" i="2"/>
  <c r="AC9" i="2"/>
  <c r="AL9" i="2"/>
  <c r="S9" i="2"/>
  <c r="O9" i="2"/>
  <c r="AH9" i="2"/>
  <c r="X9" i="2"/>
  <c r="X7" i="2"/>
  <c r="AC7" i="2"/>
  <c r="AH7" i="2"/>
  <c r="AL7" i="2"/>
  <c r="S7" i="2"/>
  <c r="O7" i="2"/>
  <c r="AD9" i="2"/>
  <c r="AD10" i="2"/>
  <c r="X11" i="2" l="1"/>
  <c r="AD8" i="2"/>
  <c r="AH11" i="2"/>
  <c r="AD7" i="2"/>
  <c r="AC11" i="2"/>
  <c r="AD6" i="2"/>
  <c r="S11" i="2"/>
  <c r="AE11" i="2" l="1"/>
  <c r="T11" i="2"/>
  <c r="S12" i="2" s="1"/>
  <c r="S14" i="2" s="1"/>
  <c r="AD4" i="2"/>
  <c r="AD11" i="2" s="1"/>
  <c r="AC12" i="2" s="1"/>
  <c r="AC14" i="2" s="1"/>
  <c r="AM11" i="2"/>
  <c r="AL12" i="2" s="1"/>
  <c r="AL14" i="2" s="1"/>
  <c r="AI11" i="2"/>
  <c r="AH12" i="2" s="1"/>
  <c r="AH14" i="2" s="1"/>
  <c r="Y11" i="2"/>
  <c r="X12" i="2" s="1"/>
  <c r="X14" i="2" s="1"/>
  <c r="S13" i="2" l="1"/>
  <c r="AL13" i="2"/>
  <c r="AC13" i="2"/>
  <c r="X13" i="2"/>
  <c r="AH13" i="2"/>
  <c r="O11" i="2"/>
  <c r="P11" i="2"/>
  <c r="O12" i="2" l="1"/>
  <c r="O14" i="2" s="1"/>
  <c r="O13" i="2" l="1"/>
  <c r="AI10" i="1" l="1"/>
  <c r="AI11" i="1"/>
  <c r="AI12" i="1"/>
  <c r="AI13" i="1"/>
  <c r="AJ13" i="1" s="1"/>
  <c r="AK13" i="1" s="1"/>
  <c r="AI14" i="1"/>
  <c r="AI15" i="1"/>
  <c r="AI16" i="1"/>
  <c r="AI17" i="1"/>
  <c r="AJ17" i="1" s="1"/>
  <c r="AK17" i="1" s="1"/>
  <c r="AI18" i="1"/>
  <c r="AI19" i="1"/>
  <c r="AI20" i="1"/>
  <c r="AI21" i="1"/>
  <c r="AJ21" i="1" s="1"/>
  <c r="AK21" i="1" s="1"/>
  <c r="AI22" i="1"/>
  <c r="AI23" i="1"/>
  <c r="AI24" i="1"/>
  <c r="AI25" i="1"/>
  <c r="AJ25" i="1" s="1"/>
  <c r="AK25" i="1" s="1"/>
  <c r="AI26" i="1"/>
  <c r="AI27" i="1"/>
  <c r="AI28" i="1"/>
  <c r="AI29" i="1"/>
  <c r="AJ29" i="1" s="1"/>
  <c r="AK29" i="1" s="1"/>
  <c r="AI30" i="1"/>
  <c r="AE10" i="1"/>
  <c r="AE11" i="1"/>
  <c r="AE12" i="1"/>
  <c r="AF12" i="1" s="1"/>
  <c r="AG12" i="1" s="1"/>
  <c r="AE13" i="1"/>
  <c r="AF13" i="1" s="1"/>
  <c r="AG13" i="1" s="1"/>
  <c r="AE14" i="1"/>
  <c r="AE15" i="1"/>
  <c r="AE16" i="1"/>
  <c r="AF16" i="1" s="1"/>
  <c r="AG16" i="1" s="1"/>
  <c r="AE17" i="1"/>
  <c r="AF17" i="1" s="1"/>
  <c r="AG17" i="1" s="1"/>
  <c r="AE18" i="1"/>
  <c r="AE19" i="1"/>
  <c r="AE20" i="1"/>
  <c r="AF20" i="1" s="1"/>
  <c r="AG20" i="1" s="1"/>
  <c r="AE21" i="1"/>
  <c r="AF21" i="1" s="1"/>
  <c r="AG21" i="1" s="1"/>
  <c r="AE22" i="1"/>
  <c r="AE23" i="1"/>
  <c r="AE24" i="1"/>
  <c r="AF24" i="1" s="1"/>
  <c r="AG24" i="1" s="1"/>
  <c r="AE25" i="1"/>
  <c r="AF25" i="1" s="1"/>
  <c r="AG25" i="1" s="1"/>
  <c r="AE26" i="1"/>
  <c r="AE27" i="1"/>
  <c r="AE28" i="1"/>
  <c r="AF28" i="1" s="1"/>
  <c r="AG28" i="1" s="1"/>
  <c r="AE29" i="1"/>
  <c r="AF29" i="1" s="1"/>
  <c r="AG29" i="1" s="1"/>
  <c r="AE30" i="1"/>
  <c r="AA10" i="1"/>
  <c r="AA11" i="1"/>
  <c r="AB11" i="1" s="1"/>
  <c r="AC11" i="1" s="1"/>
  <c r="AA12" i="1"/>
  <c r="AB12" i="1" s="1"/>
  <c r="AC12" i="1" s="1"/>
  <c r="AA13" i="1"/>
  <c r="AB13" i="1" s="1"/>
  <c r="AC13" i="1" s="1"/>
  <c r="AA14" i="1"/>
  <c r="AA15" i="1"/>
  <c r="AB15" i="1" s="1"/>
  <c r="AC15" i="1" s="1"/>
  <c r="AA16" i="1"/>
  <c r="AB16" i="1" s="1"/>
  <c r="AC16" i="1" s="1"/>
  <c r="AA17" i="1"/>
  <c r="AB17" i="1" s="1"/>
  <c r="AC17" i="1" s="1"/>
  <c r="AA18" i="1"/>
  <c r="AA19" i="1"/>
  <c r="AA20" i="1"/>
  <c r="AA21" i="1"/>
  <c r="AB21" i="1" s="1"/>
  <c r="AC21" i="1" s="1"/>
  <c r="AA22" i="1"/>
  <c r="AA23" i="1"/>
  <c r="AB23" i="1" s="1"/>
  <c r="AC23" i="1" s="1"/>
  <c r="AA24" i="1"/>
  <c r="AB24" i="1" s="1"/>
  <c r="AC24" i="1" s="1"/>
  <c r="AA25" i="1"/>
  <c r="AB25" i="1" s="1"/>
  <c r="AC25" i="1" s="1"/>
  <c r="AA26" i="1"/>
  <c r="AA27" i="1"/>
  <c r="AB27" i="1" s="1"/>
  <c r="AC27" i="1" s="1"/>
  <c r="AA28" i="1"/>
  <c r="AB28" i="1" s="1"/>
  <c r="AC28" i="1" s="1"/>
  <c r="AA29" i="1"/>
  <c r="AB29" i="1" s="1"/>
  <c r="AC29" i="1" s="1"/>
  <c r="AA30" i="1"/>
  <c r="W10" i="1"/>
  <c r="X10" i="1" s="1"/>
  <c r="Y10" i="1" s="1"/>
  <c r="W11" i="1"/>
  <c r="X11" i="1" s="1"/>
  <c r="Y11" i="1" s="1"/>
  <c r="W12" i="1"/>
  <c r="X12" i="1" s="1"/>
  <c r="Y12" i="1" s="1"/>
  <c r="W13" i="1"/>
  <c r="X13" i="1" s="1"/>
  <c r="Y13" i="1" s="1"/>
  <c r="W14" i="1"/>
  <c r="W15" i="1"/>
  <c r="X15" i="1" s="1"/>
  <c r="Y15" i="1" s="1"/>
  <c r="W16" i="1"/>
  <c r="X16" i="1" s="1"/>
  <c r="Y16" i="1" s="1"/>
  <c r="W17" i="1"/>
  <c r="X17" i="1" s="1"/>
  <c r="Y17" i="1" s="1"/>
  <c r="W18" i="1"/>
  <c r="W19" i="1"/>
  <c r="X19" i="1" s="1"/>
  <c r="Y19" i="1" s="1"/>
  <c r="W20" i="1"/>
  <c r="X20" i="1" s="1"/>
  <c r="Y20" i="1" s="1"/>
  <c r="W21" i="1"/>
  <c r="X21" i="1" s="1"/>
  <c r="Y21" i="1" s="1"/>
  <c r="W22" i="1"/>
  <c r="X22" i="1" s="1"/>
  <c r="Y22" i="1" s="1"/>
  <c r="W23" i="1"/>
  <c r="X23" i="1" s="1"/>
  <c r="Y23" i="1" s="1"/>
  <c r="W24" i="1"/>
  <c r="X24" i="1" s="1"/>
  <c r="Y24" i="1" s="1"/>
  <c r="W25" i="1"/>
  <c r="X25" i="1" s="1"/>
  <c r="Y25" i="1" s="1"/>
  <c r="W26" i="1"/>
  <c r="X26" i="1" s="1"/>
  <c r="Y26" i="1" s="1"/>
  <c r="W27" i="1"/>
  <c r="X27" i="1" s="1"/>
  <c r="Y27" i="1" s="1"/>
  <c r="W28" i="1"/>
  <c r="X28" i="1" s="1"/>
  <c r="Y28" i="1" s="1"/>
  <c r="W29" i="1"/>
  <c r="X29" i="1" s="1"/>
  <c r="Y29" i="1" s="1"/>
  <c r="W30" i="1"/>
  <c r="X30" i="1" s="1"/>
  <c r="Y30" i="1" s="1"/>
  <c r="S10" i="1"/>
  <c r="T10" i="1" s="1"/>
  <c r="U10" i="1" s="1"/>
  <c r="S11" i="1"/>
  <c r="S12" i="1"/>
  <c r="S13" i="1"/>
  <c r="T13" i="1" s="1"/>
  <c r="U13" i="1" s="1"/>
  <c r="S14" i="1"/>
  <c r="T14" i="1" s="1"/>
  <c r="U14" i="1" s="1"/>
  <c r="S15" i="1"/>
  <c r="S16" i="1"/>
  <c r="S17" i="1"/>
  <c r="T17" i="1" s="1"/>
  <c r="U17" i="1" s="1"/>
  <c r="S18" i="1"/>
  <c r="T18" i="1" s="1"/>
  <c r="U18" i="1" s="1"/>
  <c r="S19" i="1"/>
  <c r="S20" i="1"/>
  <c r="S21" i="1"/>
  <c r="T21" i="1" s="1"/>
  <c r="U21" i="1" s="1"/>
  <c r="S22" i="1"/>
  <c r="T22" i="1" s="1"/>
  <c r="U22" i="1" s="1"/>
  <c r="S23" i="1"/>
  <c r="S24" i="1"/>
  <c r="S25" i="1"/>
  <c r="T25" i="1" s="1"/>
  <c r="U25" i="1" s="1"/>
  <c r="S26" i="1"/>
  <c r="T26" i="1" s="1"/>
  <c r="U26" i="1" s="1"/>
  <c r="S27" i="1"/>
  <c r="S28" i="1"/>
  <c r="S29" i="1"/>
  <c r="T29" i="1" s="1"/>
  <c r="U29" i="1" s="1"/>
  <c r="S30" i="1"/>
  <c r="T30" i="1" s="1"/>
  <c r="U30" i="1" s="1"/>
  <c r="O10" i="1"/>
  <c r="O11" i="1"/>
  <c r="O12" i="1"/>
  <c r="P12" i="1" s="1"/>
  <c r="Q12" i="1" s="1"/>
  <c r="O13" i="1"/>
  <c r="P13" i="1" s="1"/>
  <c r="Q13" i="1" s="1"/>
  <c r="O14" i="1"/>
  <c r="O15" i="1"/>
  <c r="O16" i="1"/>
  <c r="P16" i="1" s="1"/>
  <c r="Q16" i="1" s="1"/>
  <c r="O17" i="1"/>
  <c r="P17" i="1" s="1"/>
  <c r="Q17" i="1" s="1"/>
  <c r="O18" i="1"/>
  <c r="O19" i="1"/>
  <c r="O20" i="1"/>
  <c r="P20" i="1" s="1"/>
  <c r="Q20" i="1" s="1"/>
  <c r="O21" i="1"/>
  <c r="P21" i="1" s="1"/>
  <c r="Q21" i="1" s="1"/>
  <c r="O22" i="1"/>
  <c r="O23" i="1"/>
  <c r="O24" i="1"/>
  <c r="P24" i="1" s="1"/>
  <c r="Q24" i="1" s="1"/>
  <c r="O25" i="1"/>
  <c r="P25" i="1" s="1"/>
  <c r="Q25" i="1" s="1"/>
  <c r="O26" i="1"/>
  <c r="O27" i="1"/>
  <c r="O28" i="1"/>
  <c r="P28" i="1" s="1"/>
  <c r="Q28" i="1" s="1"/>
  <c r="O29" i="1"/>
  <c r="P29" i="1" s="1"/>
  <c r="Q29" i="1" s="1"/>
  <c r="O30" i="1"/>
  <c r="AJ10" i="1"/>
  <c r="AK10" i="1" s="1"/>
  <c r="AJ11" i="1"/>
  <c r="AK11" i="1" s="1"/>
  <c r="AJ12" i="1"/>
  <c r="AK12" i="1" s="1"/>
  <c r="AJ14" i="1"/>
  <c r="AK14" i="1" s="1"/>
  <c r="AJ15" i="1"/>
  <c r="AK15" i="1" s="1"/>
  <c r="AJ16" i="1"/>
  <c r="AK16" i="1" s="1"/>
  <c r="AJ18" i="1"/>
  <c r="AK18" i="1" s="1"/>
  <c r="AJ19" i="1"/>
  <c r="AK19" i="1" s="1"/>
  <c r="AJ20" i="1"/>
  <c r="AK20" i="1" s="1"/>
  <c r="AJ22" i="1"/>
  <c r="AK22" i="1" s="1"/>
  <c r="AJ23" i="1"/>
  <c r="AK23" i="1" s="1"/>
  <c r="AJ24" i="1"/>
  <c r="AK24" i="1" s="1"/>
  <c r="AJ26" i="1"/>
  <c r="AK26" i="1" s="1"/>
  <c r="AJ27" i="1"/>
  <c r="AK27" i="1" s="1"/>
  <c r="AJ28" i="1"/>
  <c r="AK28" i="1" s="1"/>
  <c r="AJ30" i="1"/>
  <c r="AK30" i="1" s="1"/>
  <c r="AF10" i="1"/>
  <c r="AG10" i="1" s="1"/>
  <c r="AF11" i="1"/>
  <c r="AG11" i="1" s="1"/>
  <c r="AF14" i="1"/>
  <c r="AG14" i="1" s="1"/>
  <c r="AF15" i="1"/>
  <c r="AG15" i="1" s="1"/>
  <c r="AF18" i="1"/>
  <c r="AG18" i="1" s="1"/>
  <c r="AF19" i="1"/>
  <c r="AG19" i="1" s="1"/>
  <c r="AF22" i="1"/>
  <c r="AG22" i="1" s="1"/>
  <c r="AF23" i="1"/>
  <c r="AG23" i="1" s="1"/>
  <c r="AF26" i="1"/>
  <c r="AG26" i="1" s="1"/>
  <c r="AF27" i="1"/>
  <c r="AG27" i="1" s="1"/>
  <c r="AF30" i="1"/>
  <c r="AG30" i="1" s="1"/>
  <c r="AB10" i="1"/>
  <c r="AC10" i="1" s="1"/>
  <c r="AB14" i="1"/>
  <c r="AC14" i="1" s="1"/>
  <c r="AB18" i="1"/>
  <c r="AC18" i="1" s="1"/>
  <c r="AB19" i="1"/>
  <c r="AC19" i="1" s="1"/>
  <c r="AB20" i="1"/>
  <c r="AC20" i="1" s="1"/>
  <c r="AB22" i="1"/>
  <c r="AC22" i="1" s="1"/>
  <c r="AB26" i="1"/>
  <c r="AC26" i="1" s="1"/>
  <c r="AB30" i="1"/>
  <c r="AC30" i="1" s="1"/>
  <c r="X18" i="1"/>
  <c r="Y18" i="1" s="1"/>
  <c r="T11" i="1"/>
  <c r="U11" i="1" s="1"/>
  <c r="T12" i="1"/>
  <c r="U12" i="1" s="1"/>
  <c r="T15" i="1"/>
  <c r="U15" i="1" s="1"/>
  <c r="T16" i="1"/>
  <c r="U16" i="1" s="1"/>
  <c r="T19" i="1"/>
  <c r="U19" i="1" s="1"/>
  <c r="T20" i="1"/>
  <c r="U20" i="1" s="1"/>
  <c r="T23" i="1"/>
  <c r="U23" i="1" s="1"/>
  <c r="T24" i="1"/>
  <c r="U24" i="1" s="1"/>
  <c r="T27" i="1"/>
  <c r="U27" i="1" s="1"/>
  <c r="T28" i="1"/>
  <c r="U28" i="1" s="1"/>
  <c r="P10" i="1"/>
  <c r="Q10" i="1" s="1"/>
  <c r="P11" i="1"/>
  <c r="Q11" i="1" s="1"/>
  <c r="P14" i="1"/>
  <c r="Q14" i="1" s="1"/>
  <c r="P15" i="1"/>
  <c r="Q15" i="1" s="1"/>
  <c r="P18" i="1"/>
  <c r="Q18" i="1" s="1"/>
  <c r="P19" i="1"/>
  <c r="Q19" i="1" s="1"/>
  <c r="P22" i="1"/>
  <c r="Q22" i="1" s="1"/>
  <c r="P23" i="1"/>
  <c r="Q23" i="1" s="1"/>
  <c r="P26" i="1"/>
  <c r="Q26" i="1" s="1"/>
  <c r="P27" i="1"/>
  <c r="Q27" i="1" s="1"/>
  <c r="P30" i="1"/>
  <c r="Q30" i="1" s="1"/>
  <c r="X14" i="1" l="1"/>
  <c r="AI9" i="1"/>
  <c r="AE9" i="1"/>
  <c r="AA9" i="1"/>
  <c r="W9" i="1"/>
  <c r="X9" i="1" s="1"/>
  <c r="Y9" i="1" s="1"/>
  <c r="S9" i="1"/>
  <c r="O9" i="1"/>
  <c r="K10" i="1"/>
  <c r="L10" i="1" s="1"/>
  <c r="M10" i="1" s="1"/>
  <c r="K11" i="1"/>
  <c r="L11" i="1" s="1"/>
  <c r="M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K24" i="1"/>
  <c r="L24" i="1" s="1"/>
  <c r="M24" i="1" s="1"/>
  <c r="K25" i="1"/>
  <c r="L25" i="1" s="1"/>
  <c r="M25" i="1" s="1"/>
  <c r="K26" i="1"/>
  <c r="L26" i="1" s="1"/>
  <c r="M26" i="1" s="1"/>
  <c r="K27" i="1"/>
  <c r="L27" i="1" s="1"/>
  <c r="M27" i="1" s="1"/>
  <c r="K28" i="1"/>
  <c r="L28" i="1" s="1"/>
  <c r="M28" i="1" s="1"/>
  <c r="K29" i="1"/>
  <c r="L29" i="1" s="1"/>
  <c r="M29" i="1" s="1"/>
  <c r="K30" i="1"/>
  <c r="L30" i="1" s="1"/>
  <c r="M30" i="1" s="1"/>
  <c r="K9" i="1"/>
  <c r="L9" i="1" s="1"/>
  <c r="M9" i="1" s="1"/>
  <c r="M31" i="1" l="1"/>
  <c r="M33" i="1" s="1"/>
  <c r="M34" i="1" s="1"/>
  <c r="O32" i="1"/>
  <c r="P32" i="1" s="1"/>
  <c r="Q32" i="1" s="1"/>
  <c r="P9" i="1"/>
  <c r="S32" i="1"/>
  <c r="T32" i="1" s="1"/>
  <c r="U32" i="1" s="1"/>
  <c r="T9" i="1"/>
  <c r="AI32" i="1"/>
  <c r="AJ32" i="1" s="1"/>
  <c r="AK32" i="1" s="1"/>
  <c r="AJ9" i="1"/>
  <c r="AE32" i="1"/>
  <c r="AF32" i="1" s="1"/>
  <c r="AG32" i="1" s="1"/>
  <c r="AF9" i="1"/>
  <c r="AA32" i="1"/>
  <c r="AB32" i="1" s="1"/>
  <c r="AC32" i="1" s="1"/>
  <c r="AB9" i="1"/>
  <c r="L31" i="1"/>
  <c r="L33" i="1" s="1"/>
  <c r="L34" i="1" s="1"/>
  <c r="W32" i="1"/>
  <c r="X32" i="1" s="1"/>
  <c r="Y32" i="1" s="1"/>
  <c r="Y14" i="1"/>
  <c r="Y31" i="1" s="1"/>
  <c r="Y33" i="1" s="1"/>
  <c r="Y34" i="1" s="1"/>
  <c r="X31" i="1"/>
  <c r="X33" i="1" s="1"/>
  <c r="X34" i="1" s="1"/>
  <c r="K32" i="1"/>
  <c r="L32" i="1" s="1"/>
  <c r="M32" i="1" s="1"/>
  <c r="AC9" i="1" l="1"/>
  <c r="AC31" i="1" s="1"/>
  <c r="AC33" i="1" s="1"/>
  <c r="AC34" i="1" s="1"/>
  <c r="AB31" i="1"/>
  <c r="AB33" i="1" s="1"/>
  <c r="AB34" i="1" s="1"/>
  <c r="AJ31" i="1"/>
  <c r="AJ33" i="1" s="1"/>
  <c r="AJ34" i="1" s="1"/>
  <c r="AK9" i="1"/>
  <c r="AK31" i="1" s="1"/>
  <c r="AK33" i="1" s="1"/>
  <c r="AK34" i="1" s="1"/>
  <c r="Q9" i="1"/>
  <c r="Q31" i="1" s="1"/>
  <c r="Q33" i="1" s="1"/>
  <c r="Q34" i="1" s="1"/>
  <c r="P31" i="1"/>
  <c r="P33" i="1" s="1"/>
  <c r="P34" i="1" s="1"/>
  <c r="AG9" i="1"/>
  <c r="AG31" i="1" s="1"/>
  <c r="AG33" i="1" s="1"/>
  <c r="AG34" i="1" s="1"/>
  <c r="AF31" i="1"/>
  <c r="AF33" i="1" s="1"/>
  <c r="AF34" i="1" s="1"/>
  <c r="U9" i="1"/>
  <c r="U31" i="1" s="1"/>
  <c r="U33" i="1" s="1"/>
  <c r="U34" i="1" s="1"/>
  <c r="T31" i="1"/>
  <c r="T33" i="1" s="1"/>
  <c r="T34" i="1" s="1"/>
</calcChain>
</file>

<file path=xl/comments1.xml><?xml version="1.0" encoding="utf-8"?>
<comments xmlns="http://schemas.openxmlformats.org/spreadsheetml/2006/main">
  <authors>
    <author>Rowe, Jayson</author>
  </authors>
  <commentList>
    <comment ref="M2" authorId="0">
      <text>
        <r>
          <rPr>
            <b/>
            <sz val="9"/>
            <color indexed="81"/>
            <rFont val="Tahoma"/>
            <charset val="1"/>
          </rPr>
          <t>Duty cycle as a percentage for that phase of flight</t>
        </r>
      </text>
    </comment>
    <comment ref="E3" authorId="0">
      <text>
        <r>
          <rPr>
            <sz val="9"/>
            <color indexed="81"/>
            <rFont val="Tahoma"/>
            <charset val="1"/>
          </rPr>
          <t xml:space="preserve">Power factor
Negative values are inductive loads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Number of units</t>
        </r>
      </text>
    </comment>
  </commentList>
</comments>
</file>

<file path=xl/comments2.xml><?xml version="1.0" encoding="utf-8"?>
<comments xmlns="http://schemas.openxmlformats.org/spreadsheetml/2006/main">
  <authors>
    <author>Rowe, Jayson</author>
  </authors>
  <commentList>
    <comment ref="D2" authorId="0">
      <text>
        <r>
          <rPr>
            <sz val="9"/>
            <color indexed="81"/>
            <rFont val="Tahoma"/>
            <family val="2"/>
          </rPr>
          <t>Battery totals taking into account derating</t>
        </r>
      </text>
    </comment>
    <comment ref="A3" authorId="0">
      <text>
        <r>
          <rPr>
            <sz val="9"/>
            <color indexed="81"/>
            <rFont val="Tahoma"/>
            <family val="2"/>
          </rPr>
          <t>Normal load is drawn from the battery until the pilot reacts and sheds load.</t>
        </r>
      </text>
    </comment>
    <comment ref="A6" authorId="0">
      <text>
        <r>
          <rPr>
            <sz val="9"/>
            <color indexed="81"/>
            <rFont val="Tahoma"/>
            <family val="2"/>
          </rPr>
          <t>Approved Single Turbine Engine Powered aircraft selection will use insert items for engine start ignitors and lower flaps/undercarriage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Normal load from generator without load shedding. </t>
        </r>
      </text>
    </comment>
    <comment ref="H7" authorId="0">
      <text>
        <r>
          <rPr>
            <sz val="9"/>
            <color indexed="81"/>
            <rFont val="Tahoma"/>
            <family val="2"/>
          </rPr>
          <t>Battery time without load shedding</t>
        </r>
      </text>
    </comment>
    <comment ref="D9" authorId="0">
      <text>
        <r>
          <rPr>
            <sz val="9"/>
            <color indexed="81"/>
            <rFont val="Tahoma"/>
            <family val="2"/>
          </rPr>
          <t>If Continuous is selected, the time used is the emergency time. There is no need to change the operating time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Rowe, Jayson:</t>
        </r>
        <r>
          <rPr>
            <sz val="9"/>
            <color indexed="81"/>
            <rFont val="Tahoma"/>
            <family val="2"/>
          </rPr>
          <t xml:space="preserve">
Leave blank if continuous as emergency time is taken in calculation of total</t>
        </r>
      </text>
    </comment>
    <comment ref="A18" authorId="0">
      <text>
        <r>
          <rPr>
            <sz val="9"/>
            <color indexed="81"/>
            <rFont val="Tahoma"/>
            <family val="2"/>
          </rPr>
          <t>7a and 7b are the same system. They have been broken down into Transmit (TX) and Receive (RX) modes.</t>
        </r>
      </text>
    </comment>
  </commentList>
</comments>
</file>

<file path=xl/sharedStrings.xml><?xml version="1.0" encoding="utf-8"?>
<sst xmlns="http://schemas.openxmlformats.org/spreadsheetml/2006/main" count="459" uniqueCount="143">
  <si>
    <r>
      <rPr>
        <b/>
        <sz val="11"/>
        <rFont val="Arial"/>
        <family val="34"/>
      </rPr>
      <t xml:space="preserve">Table 5      </t>
    </r>
    <r>
      <rPr>
        <sz val="11"/>
        <rFont val="Arial"/>
        <family val="34"/>
      </rPr>
      <t>DC System : 28 V</t>
    </r>
  </si>
  <si>
    <r>
      <rPr>
        <sz val="7"/>
        <rFont val="Arial"/>
        <family val="34"/>
      </rPr>
      <t>Item</t>
    </r>
  </si>
  <si>
    <r>
      <rPr>
        <sz val="7"/>
        <rFont val="Arial"/>
        <family val="34"/>
      </rPr>
      <t>Service</t>
    </r>
  </si>
  <si>
    <r>
      <rPr>
        <sz val="7"/>
        <rFont val="Arial"/>
        <family val="34"/>
      </rPr>
      <t xml:space="preserve">Units per
</t>
    </r>
    <r>
      <rPr>
        <sz val="7"/>
        <rFont val="Arial"/>
        <family val="34"/>
      </rPr>
      <t>A/C</t>
    </r>
  </si>
  <si>
    <r>
      <rPr>
        <sz val="7"/>
        <rFont val="Arial"/>
        <family val="34"/>
      </rPr>
      <t>Units op simult</t>
    </r>
  </si>
  <si>
    <r>
      <rPr>
        <sz val="7"/>
        <rFont val="Arial"/>
        <family val="34"/>
      </rPr>
      <t xml:space="preserve">Current at
</t>
    </r>
    <r>
      <rPr>
        <sz val="7"/>
        <rFont val="Arial"/>
        <family val="34"/>
      </rPr>
      <t xml:space="preserve">95% volts
</t>
    </r>
    <r>
      <rPr>
        <sz val="7"/>
        <rFont val="Arial"/>
        <family val="34"/>
      </rPr>
      <t>(amp)</t>
    </r>
  </si>
  <si>
    <r>
      <rPr>
        <sz val="7"/>
        <rFont val="Arial"/>
        <family val="34"/>
      </rPr>
      <t>Drop in line volts (volt)</t>
    </r>
  </si>
  <si>
    <r>
      <rPr>
        <sz val="7"/>
        <rFont val="Arial"/>
        <family val="34"/>
      </rPr>
      <t>No of times ON</t>
    </r>
  </si>
  <si>
    <r>
      <rPr>
        <sz val="7"/>
        <rFont val="Arial"/>
        <family val="34"/>
      </rPr>
      <t>amp</t>
    </r>
  </si>
  <si>
    <r>
      <rPr>
        <sz val="7"/>
        <rFont val="Arial"/>
        <family val="34"/>
      </rPr>
      <t>Motor, Flaps</t>
    </r>
  </si>
  <si>
    <r>
      <rPr>
        <sz val="7"/>
        <rFont val="Arial"/>
        <family val="34"/>
      </rPr>
      <t>Prop, feather</t>
    </r>
  </si>
  <si>
    <r>
      <rPr>
        <sz val="7"/>
        <rFont val="Arial"/>
        <family val="34"/>
      </rPr>
      <t>Motor, U/C</t>
    </r>
  </si>
  <si>
    <r>
      <rPr>
        <sz val="7"/>
        <rFont val="Arial"/>
        <family val="34"/>
      </rPr>
      <t>Trim tab motor</t>
    </r>
  </si>
  <si>
    <r>
      <rPr>
        <sz val="7"/>
        <rFont val="Arial"/>
        <family val="34"/>
      </rPr>
      <t>Cowl flaps</t>
    </r>
  </si>
  <si>
    <r>
      <rPr>
        <sz val="7"/>
        <rFont val="Arial"/>
        <family val="34"/>
      </rPr>
      <t>Water heater</t>
    </r>
  </si>
  <si>
    <r>
      <rPr>
        <sz val="7"/>
        <rFont val="Arial"/>
        <family val="34"/>
      </rPr>
      <t>Galley</t>
    </r>
  </si>
  <si>
    <r>
      <rPr>
        <sz val="7"/>
        <rFont val="Arial"/>
        <family val="34"/>
      </rPr>
      <t>Radio Trans.</t>
    </r>
  </si>
  <si>
    <r>
      <rPr>
        <sz val="7"/>
        <rFont val="Arial"/>
        <family val="34"/>
      </rPr>
      <t>Fuel Trans. pump</t>
    </r>
  </si>
  <si>
    <r>
      <rPr>
        <sz val="7"/>
        <rFont val="Arial"/>
        <family val="34"/>
      </rPr>
      <t>Motor de-icing</t>
    </r>
  </si>
  <si>
    <r>
      <rPr>
        <sz val="7"/>
        <rFont val="Arial"/>
        <family val="34"/>
      </rPr>
      <t>Prop. Auto Ctl</t>
    </r>
  </si>
  <si>
    <r>
      <rPr>
        <sz val="7"/>
        <rFont val="Arial"/>
        <family val="34"/>
      </rPr>
      <t>Cont</t>
    </r>
  </si>
  <si>
    <r>
      <rPr>
        <sz val="7"/>
        <rFont val="Arial"/>
        <family val="34"/>
      </rPr>
      <t>Fuel Boost pump</t>
    </r>
  </si>
  <si>
    <r>
      <rPr>
        <sz val="7"/>
        <rFont val="Arial"/>
        <family val="34"/>
      </rPr>
      <t>Engine Inst.</t>
    </r>
  </si>
  <si>
    <r>
      <rPr>
        <sz val="7"/>
        <rFont val="Arial"/>
        <family val="34"/>
      </rPr>
      <t>14(a)</t>
    </r>
  </si>
  <si>
    <r>
      <rPr>
        <sz val="7"/>
        <rFont val="Arial"/>
        <family val="34"/>
      </rPr>
      <t>Int. light (Ess)</t>
    </r>
  </si>
  <si>
    <r>
      <rPr>
        <sz val="7"/>
        <rFont val="Arial"/>
        <family val="34"/>
      </rPr>
      <t>14(b)</t>
    </r>
  </si>
  <si>
    <r>
      <rPr>
        <sz val="7"/>
        <rFont val="Arial"/>
        <family val="34"/>
      </rPr>
      <t>Int. Lights (non- essential)</t>
    </r>
  </si>
  <si>
    <r>
      <rPr>
        <sz val="7"/>
        <rFont val="Arial"/>
        <family val="34"/>
      </rPr>
      <t>Nav. Lights</t>
    </r>
  </si>
  <si>
    <r>
      <rPr>
        <sz val="7"/>
        <rFont val="Arial"/>
        <family val="34"/>
      </rPr>
      <t>Vent Fans</t>
    </r>
  </si>
  <si>
    <r>
      <rPr>
        <sz val="7"/>
        <rFont val="Arial"/>
        <family val="34"/>
      </rPr>
      <t>Refrigerator</t>
    </r>
  </si>
  <si>
    <r>
      <rPr>
        <sz val="7"/>
        <rFont val="Arial"/>
        <family val="34"/>
      </rPr>
      <t>Autopilot  Inv.</t>
    </r>
  </si>
  <si>
    <r>
      <rPr>
        <sz val="7"/>
        <rFont val="Arial"/>
        <family val="34"/>
      </rPr>
      <t>Inst. (flight) inv.</t>
    </r>
  </si>
  <si>
    <r>
      <rPr>
        <sz val="7"/>
        <rFont val="Arial"/>
        <family val="34"/>
      </rPr>
      <t>Radio Receiver</t>
    </r>
  </si>
  <si>
    <r>
      <rPr>
        <sz val="7"/>
        <rFont val="Arial"/>
        <family val="34"/>
      </rPr>
      <t>Intercomm.</t>
    </r>
  </si>
  <si>
    <r>
      <rPr>
        <sz val="7"/>
        <rFont val="Arial"/>
        <family val="34"/>
      </rPr>
      <t>Maximum  Demand (amp)</t>
    </r>
  </si>
  <si>
    <t>Taxi (night)</t>
  </si>
  <si>
    <r>
      <t xml:space="preserve">Aircraft Power Units     </t>
    </r>
    <r>
      <rPr>
        <b/>
        <sz val="7"/>
        <rFont val="Arial"/>
        <family val="34"/>
      </rPr>
      <t/>
    </r>
  </si>
  <si>
    <t>Flight Duration Mins</t>
  </si>
  <si>
    <t xml:space="preserve">Electrical System Volts
</t>
  </si>
  <si>
    <t>Number of batteries</t>
  </si>
  <si>
    <t>Capacity Ah</t>
  </si>
  <si>
    <t>Operation Duration</t>
  </si>
  <si>
    <t>Mins</t>
  </si>
  <si>
    <t>Cont</t>
  </si>
  <si>
    <t>Op Time in mins</t>
  </si>
  <si>
    <t>Remaining Capacity (amp)</t>
  </si>
  <si>
    <t>Power</t>
  </si>
  <si>
    <t>In Use</t>
  </si>
  <si>
    <t>Time</t>
  </si>
  <si>
    <t>Y</t>
  </si>
  <si>
    <t>N</t>
  </si>
  <si>
    <t>Yes/No</t>
  </si>
  <si>
    <t>amp-min</t>
  </si>
  <si>
    <t>Take-off and land</t>
  </si>
  <si>
    <t>Cruise (day)</t>
  </si>
  <si>
    <t>Cruise (night)</t>
  </si>
  <si>
    <t>Cruise (night) prior to load shed</t>
  </si>
  <si>
    <t>Land (night)</t>
  </si>
  <si>
    <t>amp-hr</t>
  </si>
  <si>
    <t>Generator W</t>
  </si>
  <si>
    <t>Growth Capacity</t>
  </si>
  <si>
    <t>Total (amp)</t>
  </si>
  <si>
    <t>Aircraft Bus</t>
  </si>
  <si>
    <t>115VAC Essential Bus</t>
  </si>
  <si>
    <t>B</t>
  </si>
  <si>
    <t>Total Capacity of Bus in VA</t>
  </si>
  <si>
    <t>Duty %</t>
  </si>
  <si>
    <t>Item #</t>
  </si>
  <si>
    <t>Unit Name</t>
  </si>
  <si>
    <t>ATA</t>
  </si>
  <si>
    <t>C/B</t>
  </si>
  <si>
    <t>pf</t>
  </si>
  <si>
    <t>VA</t>
  </si>
  <si>
    <t>WATT</t>
  </si>
  <si>
    <t>VAR</t>
  </si>
  <si>
    <t>Fuel Pump</t>
  </si>
  <si>
    <t>28-FP</t>
  </si>
  <si>
    <t>Transformer Rectifer Unit</t>
  </si>
  <si>
    <t>24-TRU</t>
  </si>
  <si>
    <t>VHF tranceiver</t>
  </si>
  <si>
    <t>23-VHT</t>
  </si>
  <si>
    <t>Display Units</t>
  </si>
  <si>
    <t>31-DSP</t>
  </si>
  <si>
    <t>Cargo loading</t>
  </si>
  <si>
    <t>25-CGO</t>
  </si>
  <si>
    <t>Flaps</t>
  </si>
  <si>
    <t>27-FLP</t>
  </si>
  <si>
    <t>TOTAL</t>
  </si>
  <si>
    <t>TOTAL VA</t>
  </si>
  <si>
    <t>GROWTH %</t>
  </si>
  <si>
    <t>Cabin lighting</t>
  </si>
  <si>
    <t>23-CBL</t>
  </si>
  <si>
    <t>Unit</t>
  </si>
  <si>
    <t>Ground operations</t>
  </si>
  <si>
    <t>Engine start</t>
  </si>
  <si>
    <t>Taxi</t>
  </si>
  <si>
    <t>Take-off/Climb</t>
  </si>
  <si>
    <t>Cruise</t>
  </si>
  <si>
    <t>Landing</t>
  </si>
  <si>
    <t>Total 100% nominal</t>
  </si>
  <si>
    <t>#</t>
  </si>
  <si>
    <t xml:space="preserve">Phase </t>
  </si>
  <si>
    <t>Capacity</t>
  </si>
  <si>
    <t>Battery A/H</t>
  </si>
  <si>
    <t>Qty</t>
  </si>
  <si>
    <t>Total</t>
  </si>
  <si>
    <t>Item</t>
  </si>
  <si>
    <t>Intercom</t>
  </si>
  <si>
    <t>Flight instruments</t>
  </si>
  <si>
    <t>Engine gauges</t>
  </si>
  <si>
    <t>Landing light</t>
  </si>
  <si>
    <t>Navigation lights</t>
  </si>
  <si>
    <t>Transponder</t>
  </si>
  <si>
    <t>Amps</t>
  </si>
  <si>
    <t>Emergency average demand</t>
  </si>
  <si>
    <t>ASTEPA?</t>
  </si>
  <si>
    <t>Min</t>
  </si>
  <si>
    <t>Operating time in min</t>
  </si>
  <si>
    <t>YES</t>
  </si>
  <si>
    <t>NO</t>
  </si>
  <si>
    <t>Growth %</t>
  </si>
  <si>
    <t>7a</t>
  </si>
  <si>
    <t>7b</t>
  </si>
  <si>
    <t>VHF communication - TX</t>
  </si>
  <si>
    <t>VHF communication - RX</t>
  </si>
  <si>
    <t>Icing protection system</t>
  </si>
  <si>
    <t>Navigation systems</t>
  </si>
  <si>
    <t>Lighting systems</t>
  </si>
  <si>
    <t>Minutes</t>
  </si>
  <si>
    <t>Amp/mins</t>
  </si>
  <si>
    <t>Pilot reaction</t>
  </si>
  <si>
    <t>mins</t>
  </si>
  <si>
    <t>Normal Load</t>
  </si>
  <si>
    <t>Emergency time</t>
  </si>
  <si>
    <t>Emergency load</t>
  </si>
  <si>
    <t>Bat derating</t>
  </si>
  <si>
    <t>Continuous</t>
  </si>
  <si>
    <t>Battery Capacity</t>
  </si>
  <si>
    <t>Usage</t>
  </si>
  <si>
    <t>Note this spreadsheet uses systems and current values only for illustrative purposes. This spreadsheet will require changing depending on the individual aircraft configuration.</t>
  </si>
  <si>
    <t>Time left on battery</t>
  </si>
  <si>
    <t>Total including pilot reaction</t>
  </si>
  <si>
    <t>This spreadsheet will require assessment of loads connected to the battery depending on the individual aircraft configuration.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</si>
</sst>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0.000"/>
    <numFmt numFmtId="166" formatCode="0.0"/>
  </numFmts>
  <fonts count="15" x14ac:knownFonts="1">
    <font>
      <sz val="10"/>
      <color rgb="FF000000"/>
      <name val="Times New Roman"/>
      <charset val="204"/>
    </font>
    <font>
      <sz val="7"/>
      <color rgb="FF000000"/>
      <name val="Arial"/>
      <family val="2"/>
    </font>
    <font>
      <b/>
      <sz val="11"/>
      <name val="Arial"/>
      <family val="34"/>
    </font>
    <font>
      <sz val="11"/>
      <name val="Arial"/>
      <family val="34"/>
    </font>
    <font>
      <b/>
      <sz val="7"/>
      <name val="Arial"/>
      <family val="34"/>
    </font>
    <font>
      <sz val="7"/>
      <name val="Arial"/>
      <family val="34"/>
    </font>
    <font>
      <b/>
      <sz val="7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0" fontId="1" fillId="0" borderId="1" xfId="1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2" fontId="0" fillId="0" borderId="9" xfId="0" applyNumberFormat="1" applyFill="1" applyBorder="1" applyAlignment="1">
      <alignment horizontal="left" vertical="top"/>
    </xf>
    <xf numFmtId="2" fontId="0" fillId="2" borderId="9" xfId="0" applyNumberForma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2" fontId="0" fillId="3" borderId="9" xfId="0" applyNumberFormat="1" applyFill="1" applyBorder="1" applyAlignment="1">
      <alignment horizontal="left" vertical="top"/>
    </xf>
    <xf numFmtId="2" fontId="0" fillId="3" borderId="10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0" fontId="11" fillId="0" borderId="9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11" fillId="3" borderId="10" xfId="0" applyFont="1" applyFill="1" applyBorder="1" applyAlignment="1">
      <alignment vertical="top"/>
    </xf>
    <xf numFmtId="0" fontId="11" fillId="3" borderId="12" xfId="0" applyFont="1" applyFill="1" applyBorder="1" applyAlignment="1">
      <alignment vertical="top"/>
    </xf>
    <xf numFmtId="0" fontId="0" fillId="0" borderId="9" xfId="0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166" fontId="0" fillId="2" borderId="10" xfId="0" applyNumberFormat="1" applyFill="1" applyBorder="1" applyAlignment="1">
      <alignment horizontal="center" vertical="top"/>
    </xf>
    <xf numFmtId="166" fontId="0" fillId="2" borderId="12" xfId="0" applyNumberForma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2" fontId="0" fillId="3" borderId="10" xfId="0" applyNumberFormat="1" applyFill="1" applyBorder="1" applyAlignment="1">
      <alignment horizontal="center" vertical="top"/>
    </xf>
    <xf numFmtId="2" fontId="0" fillId="3" borderId="12" xfId="0" applyNumberFormat="1" applyFill="1" applyBorder="1" applyAlignment="1">
      <alignment horizontal="center" vertical="top"/>
    </xf>
    <xf numFmtId="165" fontId="0" fillId="3" borderId="10" xfId="0" applyNumberFormat="1" applyFill="1" applyBorder="1" applyAlignment="1">
      <alignment horizontal="center" vertical="top"/>
    </xf>
    <xf numFmtId="165" fontId="0" fillId="3" borderId="12" xfId="0" applyNumberFormat="1" applyFill="1" applyBorder="1" applyAlignment="1">
      <alignment horizontal="center" vertical="top"/>
    </xf>
    <xf numFmtId="166" fontId="0" fillId="3" borderId="10" xfId="0" applyNumberFormat="1" applyFill="1" applyBorder="1" applyAlignment="1">
      <alignment horizontal="center" vertical="top"/>
    </xf>
    <xf numFmtId="166" fontId="0" fillId="3" borderId="12" xfId="0" applyNumberFormat="1" applyFill="1" applyBorder="1" applyAlignment="1">
      <alignment horizontal="center" vertical="top"/>
    </xf>
    <xf numFmtId="165" fontId="0" fillId="2" borderId="10" xfId="0" applyNumberFormat="1" applyFill="1" applyBorder="1" applyAlignment="1">
      <alignment horizontal="center" vertical="top"/>
    </xf>
    <xf numFmtId="165" fontId="0" fillId="2" borderId="12" xfId="0" applyNumberForma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2" fontId="0" fillId="2" borderId="10" xfId="0" applyNumberFormat="1" applyFill="1" applyBorder="1" applyAlignment="1">
      <alignment horizontal="center" vertical="top"/>
    </xf>
    <xf numFmtId="2" fontId="0" fillId="2" borderId="12" xfId="0" applyNumberFormat="1" applyFill="1" applyBorder="1" applyAlignment="1">
      <alignment horizontal="center" vertical="top"/>
    </xf>
    <xf numFmtId="166" fontId="0" fillId="3" borderId="11" xfId="0" applyNumberFormat="1" applyFill="1" applyBorder="1" applyAlignment="1">
      <alignment horizontal="center" vertical="top"/>
    </xf>
    <xf numFmtId="165" fontId="0" fillId="3" borderId="11" xfId="0" applyNumberForma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3"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opLeftCell="A3" zoomScale="130" zoomScaleNormal="130" workbookViewId="0">
      <pane xSplit="9" ySplit="6" topLeftCell="J9" activePane="bottomRight" state="frozen"/>
      <selection activeCell="A3" sqref="A3"/>
      <selection pane="topRight" activeCell="J3" sqref="J3"/>
      <selection pane="bottomLeft" activeCell="A9" sqref="A9"/>
      <selection pane="bottomRight" activeCell="E40" sqref="E40"/>
    </sheetView>
  </sheetViews>
  <sheetFormatPr defaultRowHeight="12.75" x14ac:dyDescent="0.2"/>
  <cols>
    <col min="1" max="1" width="4.83203125" style="1" customWidth="1"/>
    <col min="2" max="2" width="12" style="1" customWidth="1"/>
    <col min="3" max="3" width="8" style="1" customWidth="1"/>
    <col min="4" max="4" width="6.6640625" style="1" customWidth="1"/>
    <col min="5" max="5" width="10" style="1" customWidth="1"/>
    <col min="6" max="6" width="9.83203125" style="1" customWidth="1"/>
    <col min="7" max="8" width="8" style="1" customWidth="1"/>
    <col min="9" max="9" width="7.1640625" style="1" customWidth="1"/>
    <col min="10" max="24" width="7.33203125" style="4" customWidth="1"/>
    <col min="25" max="25" width="7.6640625" style="4" bestFit="1" customWidth="1"/>
    <col min="26" max="37" width="7.33203125" style="4" customWidth="1"/>
    <col min="38" max="38" width="2.83203125" style="1" customWidth="1"/>
    <col min="39" max="39" width="9.33203125" style="1"/>
    <col min="40" max="40" width="18.6640625" style="1" bestFit="1" customWidth="1"/>
    <col min="41" max="16384" width="9.33203125" style="1"/>
  </cols>
  <sheetData>
    <row r="1" spans="1:41" ht="17.100000000000001" customHeight="1" x14ac:dyDescent="0.2"/>
    <row r="2" spans="1:41" ht="15" customHeight="1" x14ac:dyDescent="0.2">
      <c r="A2" s="1" t="s">
        <v>0</v>
      </c>
    </row>
    <row r="3" spans="1:41" ht="12.95" customHeight="1" x14ac:dyDescent="0.2">
      <c r="A3" s="63" t="s">
        <v>36</v>
      </c>
      <c r="B3" s="64"/>
      <c r="C3" s="65">
        <v>2</v>
      </c>
      <c r="D3" s="66"/>
      <c r="E3" s="63" t="s">
        <v>59</v>
      </c>
      <c r="F3" s="64"/>
      <c r="G3" s="5">
        <v>3000</v>
      </c>
      <c r="H3" s="6"/>
      <c r="I3" s="6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9" t="s">
        <v>41</v>
      </c>
      <c r="AO3" s="9" t="s">
        <v>47</v>
      </c>
    </row>
    <row r="4" spans="1:41" ht="23.1" customHeight="1" x14ac:dyDescent="0.2">
      <c r="A4" s="63" t="s">
        <v>37</v>
      </c>
      <c r="B4" s="64"/>
      <c r="C4" s="65">
        <v>180</v>
      </c>
      <c r="D4" s="66"/>
      <c r="E4" s="63" t="s">
        <v>39</v>
      </c>
      <c r="F4" s="64"/>
      <c r="G4" s="55">
        <v>2</v>
      </c>
      <c r="H4" s="67"/>
      <c r="I4" s="6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N4" s="9" t="s">
        <v>42</v>
      </c>
      <c r="AO4" s="9" t="s">
        <v>49</v>
      </c>
    </row>
    <row r="5" spans="1:41" ht="23.1" customHeight="1" x14ac:dyDescent="0.2">
      <c r="A5" s="63" t="s">
        <v>38</v>
      </c>
      <c r="B5" s="64"/>
      <c r="C5" s="65">
        <v>28</v>
      </c>
      <c r="D5" s="66"/>
      <c r="E5" s="63" t="s">
        <v>40</v>
      </c>
      <c r="F5" s="64"/>
      <c r="G5" s="55">
        <v>37</v>
      </c>
      <c r="H5" s="67"/>
      <c r="I5" s="68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N5" s="9" t="s">
        <v>43</v>
      </c>
      <c r="AO5" s="9" t="s">
        <v>50</v>
      </c>
    </row>
    <row r="6" spans="1:41" ht="19.5" customHeight="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/>
      <c r="H6" s="2">
        <v>7</v>
      </c>
      <c r="I6" s="2">
        <v>8</v>
      </c>
      <c r="J6" s="61" t="s">
        <v>35</v>
      </c>
      <c r="K6" s="62"/>
      <c r="L6" s="58" t="s">
        <v>48</v>
      </c>
      <c r="M6" s="59"/>
      <c r="N6" s="61" t="s">
        <v>53</v>
      </c>
      <c r="O6" s="62"/>
      <c r="P6" s="58" t="s">
        <v>48</v>
      </c>
      <c r="Q6" s="59"/>
      <c r="R6" s="61" t="s">
        <v>54</v>
      </c>
      <c r="S6" s="62"/>
      <c r="T6" s="58" t="s">
        <v>48</v>
      </c>
      <c r="U6" s="59"/>
      <c r="V6" s="61" t="s">
        <v>55</v>
      </c>
      <c r="W6" s="62"/>
      <c r="X6" s="58" t="s">
        <v>48</v>
      </c>
      <c r="Y6" s="59"/>
      <c r="Z6" s="61" t="s">
        <v>56</v>
      </c>
      <c r="AA6" s="62"/>
      <c r="AB6" s="58" t="s">
        <v>48</v>
      </c>
      <c r="AC6" s="59"/>
      <c r="AD6" s="61" t="s">
        <v>56</v>
      </c>
      <c r="AE6" s="62"/>
      <c r="AF6" s="58" t="s">
        <v>48</v>
      </c>
      <c r="AG6" s="59"/>
      <c r="AH6" s="61" t="s">
        <v>57</v>
      </c>
      <c r="AI6" s="62"/>
      <c r="AJ6" s="69" t="s">
        <v>48</v>
      </c>
      <c r="AK6" s="59"/>
      <c r="AN6" s="9"/>
    </row>
    <row r="7" spans="1:41" ht="28.5" customHeight="1" x14ac:dyDescent="0.2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11" t="s">
        <v>41</v>
      </c>
      <c r="H7" s="11" t="s">
        <v>44</v>
      </c>
      <c r="I7" s="3" t="s">
        <v>7</v>
      </c>
      <c r="J7" s="12" t="s">
        <v>47</v>
      </c>
      <c r="K7" s="12" t="s">
        <v>46</v>
      </c>
      <c r="L7" s="12">
        <v>30</v>
      </c>
      <c r="M7" s="12"/>
      <c r="N7" s="12" t="s">
        <v>47</v>
      </c>
      <c r="O7" s="12" t="s">
        <v>46</v>
      </c>
      <c r="P7" s="12">
        <v>10</v>
      </c>
      <c r="Q7" s="12"/>
      <c r="R7" s="12" t="s">
        <v>47</v>
      </c>
      <c r="S7" s="12" t="s">
        <v>46</v>
      </c>
      <c r="T7" s="12">
        <v>60</v>
      </c>
      <c r="U7" s="12"/>
      <c r="V7" s="12" t="s">
        <v>47</v>
      </c>
      <c r="W7" s="12" t="s">
        <v>46</v>
      </c>
      <c r="X7" s="12">
        <v>60</v>
      </c>
      <c r="Y7" s="12"/>
      <c r="Z7" s="12" t="s">
        <v>47</v>
      </c>
      <c r="AA7" s="12" t="s">
        <v>46</v>
      </c>
      <c r="AB7" s="12">
        <v>5</v>
      </c>
      <c r="AC7" s="12"/>
      <c r="AD7" s="12" t="s">
        <v>47</v>
      </c>
      <c r="AE7" s="12" t="s">
        <v>46</v>
      </c>
      <c r="AF7" s="12">
        <v>60</v>
      </c>
      <c r="AG7" s="12"/>
      <c r="AH7" s="12" t="s">
        <v>47</v>
      </c>
      <c r="AI7" s="12" t="s">
        <v>46</v>
      </c>
      <c r="AJ7" s="12">
        <v>10</v>
      </c>
      <c r="AK7" s="13"/>
    </row>
    <row r="8" spans="1:41" ht="9" customHeight="1" x14ac:dyDescent="0.2">
      <c r="A8" s="3"/>
      <c r="B8" s="3"/>
      <c r="C8" s="3"/>
      <c r="D8" s="3"/>
      <c r="E8" s="3"/>
      <c r="F8" s="3"/>
      <c r="G8" s="3"/>
      <c r="H8" s="3"/>
      <c r="I8" s="3"/>
      <c r="J8" s="14" t="s">
        <v>51</v>
      </c>
      <c r="K8" s="15" t="s">
        <v>8</v>
      </c>
      <c r="L8" s="14" t="s">
        <v>52</v>
      </c>
      <c r="M8" s="14" t="s">
        <v>58</v>
      </c>
      <c r="N8" s="14" t="s">
        <v>51</v>
      </c>
      <c r="O8" s="15" t="s">
        <v>8</v>
      </c>
      <c r="P8" s="14" t="s">
        <v>52</v>
      </c>
      <c r="Q8" s="14" t="s">
        <v>58</v>
      </c>
      <c r="R8" s="14" t="s">
        <v>51</v>
      </c>
      <c r="S8" s="15" t="s">
        <v>8</v>
      </c>
      <c r="T8" s="14" t="s">
        <v>52</v>
      </c>
      <c r="U8" s="14" t="s">
        <v>58</v>
      </c>
      <c r="V8" s="14" t="s">
        <v>51</v>
      </c>
      <c r="W8" s="15" t="s">
        <v>8</v>
      </c>
      <c r="X8" s="14" t="s">
        <v>52</v>
      </c>
      <c r="Y8" s="14" t="s">
        <v>58</v>
      </c>
      <c r="Z8" s="14" t="s">
        <v>51</v>
      </c>
      <c r="AA8" s="15" t="s">
        <v>8</v>
      </c>
      <c r="AB8" s="14" t="s">
        <v>52</v>
      </c>
      <c r="AC8" s="14" t="s">
        <v>58</v>
      </c>
      <c r="AD8" s="14" t="s">
        <v>51</v>
      </c>
      <c r="AE8" s="15" t="s">
        <v>8</v>
      </c>
      <c r="AF8" s="14" t="s">
        <v>52</v>
      </c>
      <c r="AG8" s="14" t="s">
        <v>58</v>
      </c>
      <c r="AH8" s="14" t="s">
        <v>51</v>
      </c>
      <c r="AI8" s="15" t="s">
        <v>8</v>
      </c>
      <c r="AJ8" s="14" t="s">
        <v>52</v>
      </c>
      <c r="AK8" s="16" t="s">
        <v>58</v>
      </c>
    </row>
    <row r="9" spans="1:41" ht="9" customHeight="1" x14ac:dyDescent="0.2">
      <c r="A9" s="17">
        <v>1</v>
      </c>
      <c r="B9" s="3" t="s">
        <v>9</v>
      </c>
      <c r="C9" s="18">
        <v>1</v>
      </c>
      <c r="D9" s="18">
        <v>1</v>
      </c>
      <c r="E9" s="18">
        <v>120</v>
      </c>
      <c r="F9" s="19">
        <v>6</v>
      </c>
      <c r="G9" s="18" t="s">
        <v>42</v>
      </c>
      <c r="H9" s="19">
        <v>0.25</v>
      </c>
      <c r="I9" s="18">
        <v>1</v>
      </c>
      <c r="J9" s="18" t="s">
        <v>49</v>
      </c>
      <c r="K9" s="18">
        <f>IF(J9="Y",$E9*$D9,"")</f>
        <v>120</v>
      </c>
      <c r="L9" s="18">
        <f>IF(ISERROR(IF($G9="cont",K9*L$7,IF($H9&lt;L$7,$H9*K9)*$I9/$D9)),"",IF($G9="cont",K9*L$7,IF($H9&lt;L$7,$H9*K9)*$I9/$D9))</f>
        <v>30</v>
      </c>
      <c r="M9" s="19">
        <f>IF(ISERROR(L9/60),"",L9/60)</f>
        <v>0.5</v>
      </c>
      <c r="N9" s="18" t="s">
        <v>49</v>
      </c>
      <c r="O9" s="18">
        <f>IF(N9="Y",$E9*$D9,"")</f>
        <v>120</v>
      </c>
      <c r="P9" s="18">
        <f>IF(ISERROR(IF($G9="cont",O9*P$7,IF($H9&lt;P$7,$H9*O9,($H9*O9)/$H9*P$7)*$I9/$D9)),"",IF($G9="cont",O9*P$7,IF($H9&lt;P$7,$H9*O9,($H9*O9)/$H9*P$7)*$I9/$D9))</f>
        <v>30</v>
      </c>
      <c r="Q9" s="19">
        <f>IF(ISERROR(P9/60),"",P9/60)</f>
        <v>0.5</v>
      </c>
      <c r="R9" s="18" t="s">
        <v>50</v>
      </c>
      <c r="S9" s="18" t="str">
        <f>IF(R9="Y",$E9*$D9,"")</f>
        <v/>
      </c>
      <c r="T9" s="18" t="str">
        <f>IF(ISERROR(IF($G9="cont",S9*T$7,IF($H9&lt;T$7,$H9*S9,($H9*S9)/$H9*T$7)*$I9/$D9)),"",IF($G9="cont",S9*T$7,IF($H9&lt;T$7,$H9*S9,($H9*S9)/$H9*T$7)*$I9/$D9))</f>
        <v/>
      </c>
      <c r="U9" s="19" t="str">
        <f>IF(ISERROR(T9/60),"",T9/60)</f>
        <v/>
      </c>
      <c r="V9" s="18" t="s">
        <v>50</v>
      </c>
      <c r="W9" s="18" t="str">
        <f>IF(V9="Y",$E9*$D9,"")</f>
        <v/>
      </c>
      <c r="X9" s="18" t="str">
        <f>IF(ISERROR(IF($G9="cont",W9*X$7,IF($H9&lt;X$7,$H9*W9,($H9*W9)/$H9*X$7)*$I9/$D9)),"",IF($G9="cont",W9*X$7,IF($H9&lt;X$7,$H9*W9,($H9*W9)/$H9*X$7)*$I9/$D9))</f>
        <v/>
      </c>
      <c r="Y9" s="19" t="str">
        <f>IF(ISERROR(X9/60),"",X9/60)</f>
        <v/>
      </c>
      <c r="Z9" s="18" t="s">
        <v>50</v>
      </c>
      <c r="AA9" s="18" t="str">
        <f>IF(Z9="Y",$E9*$D9,"")</f>
        <v/>
      </c>
      <c r="AB9" s="18" t="str">
        <f>IF(ISERROR(IF($G9="cont",AA9*AB$7,IF($H9&lt;AB$7,$H9*AA9,($H9*AA9)/$H9*AB$7)*$I9/$D9)),"",IF($G9="cont",AA9*AB$7,IF($H9&lt;AB$7,$H9*AA9,($H9*AA9)/$H9*AB$7)*$I9/$D9))</f>
        <v/>
      </c>
      <c r="AC9" s="19" t="str">
        <f>IF(ISERROR(AB9/60),"",AB9/60)</f>
        <v/>
      </c>
      <c r="AD9" s="18" t="s">
        <v>50</v>
      </c>
      <c r="AE9" s="18" t="str">
        <f>IF(AD9="Y",$E9*$D9,"")</f>
        <v/>
      </c>
      <c r="AF9" s="18" t="str">
        <f>IF(ISERROR(IF($G9="cont",AE9*AF$7,IF($H9&lt;AF$7,$H9*AE9,($H9*AE9)/$H9*AF$7)*$I9/$D9)),"",IF($G9="cont",AE9*AF$7,IF($H9&lt;AF$7,$H9*AE9,($H9*AE9)/$H9*AF$7)*$I9/$D9))</f>
        <v/>
      </c>
      <c r="AG9" s="19" t="str">
        <f>IF(ISERROR(AF9/60),"",AF9/60)</f>
        <v/>
      </c>
      <c r="AH9" s="18" t="s">
        <v>49</v>
      </c>
      <c r="AI9" s="18">
        <f>IF(AH9="Y",$E9*$D9,"")</f>
        <v>120</v>
      </c>
      <c r="AJ9" s="18">
        <f>IF(ISERROR(IF($G9="cont",AI9*AJ$7,IF($H9&lt;AJ$7,$H9*AI9,($H9*AI9)/$H9*AJ$7)*$I9/$D9)),"",IF($G9="cont",AI9*AJ$7,IF($H9&lt;AJ$7,$H9*AI9,($H9*AI9)/$H9*AJ$7)*$I9/$D9))</f>
        <v>30</v>
      </c>
      <c r="AK9" s="19">
        <f>IF(ISERROR(AJ9/60),"",AJ9/60)</f>
        <v>0.5</v>
      </c>
    </row>
    <row r="10" spans="1:41" ht="9" customHeight="1" x14ac:dyDescent="0.2">
      <c r="A10" s="17">
        <v>2</v>
      </c>
      <c r="B10" s="3" t="s">
        <v>10</v>
      </c>
      <c r="C10" s="18">
        <v>2</v>
      </c>
      <c r="D10" s="18">
        <v>1</v>
      </c>
      <c r="E10" s="18">
        <v>100</v>
      </c>
      <c r="F10" s="19">
        <v>5</v>
      </c>
      <c r="G10" s="18" t="s">
        <v>42</v>
      </c>
      <c r="H10" s="19">
        <v>0.25</v>
      </c>
      <c r="I10" s="18">
        <v>1</v>
      </c>
      <c r="J10" s="18" t="s">
        <v>50</v>
      </c>
      <c r="K10" s="18" t="str">
        <f t="shared" ref="K10:K30" si="0">IF(J10="Y",$E10*$D10,"")</f>
        <v/>
      </c>
      <c r="L10" s="18" t="str">
        <f t="shared" ref="L10:L32" si="1">IF(ISERROR(IF($G10="cont",K10*L$7,IF($H10&lt;L$7,$H10*K10)*$I10/$D10)),"",IF($G10="cont",K10*L$7,IF($H10&lt;L$7,$H10*K10)*$I10/$D10))</f>
        <v/>
      </c>
      <c r="M10" s="19" t="str">
        <f t="shared" ref="M10:M32" si="2">IF(ISERROR(L10/60),"",L10/60)</f>
        <v/>
      </c>
      <c r="N10" s="18" t="s">
        <v>49</v>
      </c>
      <c r="O10" s="18">
        <f t="shared" ref="O10:O30" si="3">IF(N10="Y",$E10*$D10,"")</f>
        <v>100</v>
      </c>
      <c r="P10" s="18">
        <f t="shared" ref="P10:P30" si="4">IF(ISERROR(IF($G10="cont",O10*P$7,IF($H10&lt;P$7,$H10*O10,($H10*O10)/$H10*P$7)*$I10/$D10)),"",IF($G10="cont",O10*P$7,IF($H10&lt;P$7,$H10*O10,($H10*O10)/$H10*P$7)*$I10/$D10))</f>
        <v>25</v>
      </c>
      <c r="Q10" s="19">
        <f t="shared" ref="Q10:Q30" si="5">IF(ISERROR(P10/60),"",P10/60)</f>
        <v>0.41666666666666669</v>
      </c>
      <c r="R10" s="18" t="s">
        <v>50</v>
      </c>
      <c r="S10" s="18" t="str">
        <f t="shared" ref="S10:S30" si="6">IF(R10="Y",$E10*$D10,"")</f>
        <v/>
      </c>
      <c r="T10" s="18" t="str">
        <f t="shared" ref="T10:T30" si="7">IF(ISERROR(IF($G10="cont",S10*T$7,IF($H10&lt;T$7,$H10*S10,($H10*S10)/$H10*T$7)*$I10/$D10)),"",IF($G10="cont",S10*T$7,IF($H10&lt;T$7,$H10*S10,($H10*S10)/$H10*T$7)*$I10/$D10))</f>
        <v/>
      </c>
      <c r="U10" s="19" t="str">
        <f t="shared" ref="U10:U30" si="8">IF(ISERROR(T10/60),"",T10/60)</f>
        <v/>
      </c>
      <c r="V10" s="18" t="s">
        <v>50</v>
      </c>
      <c r="W10" s="18" t="str">
        <f t="shared" ref="W10:W30" si="9">IF(V10="Y",$E10*$D10,"")</f>
        <v/>
      </c>
      <c r="X10" s="18" t="str">
        <f t="shared" ref="X10:X30" si="10">IF(ISERROR(IF($G10="cont",W10*X$7,IF($H10&lt;X$7,$H10*W10,($H10*W10)/$H10*X$7)*$I10/$D10)),"",IF($G10="cont",W10*X$7,IF($H10&lt;X$7,$H10*W10,($H10*W10)/$H10*X$7)*$I10/$D10))</f>
        <v/>
      </c>
      <c r="Y10" s="19" t="str">
        <f t="shared" ref="Y10:Y30" si="11">IF(ISERROR(X10/60),"",X10/60)</f>
        <v/>
      </c>
      <c r="Z10" s="18" t="s">
        <v>49</v>
      </c>
      <c r="AA10" s="18">
        <f t="shared" ref="AA10:AA30" si="12">IF(Z10="Y",$E10*$D10,"")</f>
        <v>100</v>
      </c>
      <c r="AB10" s="18">
        <f t="shared" ref="AB10:AB30" si="13">IF(ISERROR(IF($G10="cont",AA10*AB$7,IF($H10&lt;AB$7,$H10*AA10,($H10*AA10)/$H10*AB$7)*$I10/$D10)),"",IF($G10="cont",AA10*AB$7,IF($H10&lt;AB$7,$H10*AA10,($H10*AA10)/$H10*AB$7)*$I10/$D10))</f>
        <v>25</v>
      </c>
      <c r="AC10" s="19">
        <f t="shared" ref="AC10:AC30" si="14">IF(ISERROR(AB10/60),"",AB10/60)</f>
        <v>0.41666666666666669</v>
      </c>
      <c r="AD10" s="18" t="s">
        <v>50</v>
      </c>
      <c r="AE10" s="18" t="str">
        <f t="shared" ref="AE10:AE30" si="15">IF(AD10="Y",$E10*$D10,"")</f>
        <v/>
      </c>
      <c r="AF10" s="18" t="str">
        <f t="shared" ref="AF10:AF30" si="16">IF(ISERROR(IF($G10="cont",AE10*AF$7,IF($H10&lt;AF$7,$H10*AE10,($H10*AE10)/$H10*AF$7)*$I10/$D10)),"",IF($G10="cont",AE10*AF$7,IF($H10&lt;AF$7,$H10*AE10,($H10*AE10)/$H10*AF$7)*$I10/$D10))</f>
        <v/>
      </c>
      <c r="AG10" s="19" t="str">
        <f t="shared" ref="AG10:AG30" si="17">IF(ISERROR(AF10/60),"",AF10/60)</f>
        <v/>
      </c>
      <c r="AH10" s="18" t="s">
        <v>50</v>
      </c>
      <c r="AI10" s="18" t="str">
        <f t="shared" ref="AI10:AI30" si="18">IF(AH10="Y",$E10*$D10,"")</f>
        <v/>
      </c>
      <c r="AJ10" s="18" t="str">
        <f t="shared" ref="AJ10:AJ30" si="19">IF(ISERROR(IF($G10="cont",AI10*AJ$7,IF($H10&lt;AJ$7,$H10*AI10,($H10*AI10)/$H10*AJ$7)*$I10/$D10)),"",IF($G10="cont",AI10*AJ$7,IF($H10&lt;AJ$7,$H10*AI10,($H10*AI10)/$H10*AJ$7)*$I10/$D10))</f>
        <v/>
      </c>
      <c r="AK10" s="19" t="str">
        <f t="shared" ref="AK10:AK30" si="20">IF(ISERROR(AJ10/60),"",AJ10/60)</f>
        <v/>
      </c>
    </row>
    <row r="11" spans="1:41" ht="9" customHeight="1" x14ac:dyDescent="0.2">
      <c r="A11" s="17">
        <v>3</v>
      </c>
      <c r="B11" s="3" t="s">
        <v>11</v>
      </c>
      <c r="C11" s="18">
        <v>1</v>
      </c>
      <c r="D11" s="18">
        <v>1</v>
      </c>
      <c r="E11" s="18">
        <v>160</v>
      </c>
      <c r="F11" s="19">
        <v>8</v>
      </c>
      <c r="G11" s="18" t="s">
        <v>42</v>
      </c>
      <c r="H11" s="19">
        <v>0.5</v>
      </c>
      <c r="I11" s="18">
        <v>1</v>
      </c>
      <c r="J11" s="18" t="s">
        <v>50</v>
      </c>
      <c r="K11" s="18" t="str">
        <f t="shared" si="0"/>
        <v/>
      </c>
      <c r="L11" s="18" t="str">
        <f t="shared" si="1"/>
        <v/>
      </c>
      <c r="M11" s="19" t="str">
        <f t="shared" si="2"/>
        <v/>
      </c>
      <c r="N11" s="18" t="s">
        <v>49</v>
      </c>
      <c r="O11" s="18">
        <f t="shared" si="3"/>
        <v>160</v>
      </c>
      <c r="P11" s="18">
        <f t="shared" si="4"/>
        <v>80</v>
      </c>
      <c r="Q11" s="19">
        <f t="shared" si="5"/>
        <v>1.3333333333333333</v>
      </c>
      <c r="R11" s="18" t="s">
        <v>50</v>
      </c>
      <c r="S11" s="18" t="str">
        <f t="shared" si="6"/>
        <v/>
      </c>
      <c r="T11" s="18" t="str">
        <f t="shared" si="7"/>
        <v/>
      </c>
      <c r="U11" s="19" t="str">
        <f t="shared" si="8"/>
        <v/>
      </c>
      <c r="V11" s="18" t="s">
        <v>50</v>
      </c>
      <c r="W11" s="18" t="str">
        <f t="shared" si="9"/>
        <v/>
      </c>
      <c r="X11" s="18" t="str">
        <f t="shared" si="10"/>
        <v/>
      </c>
      <c r="Y11" s="19" t="str">
        <f t="shared" si="11"/>
        <v/>
      </c>
      <c r="Z11" s="18" t="s">
        <v>50</v>
      </c>
      <c r="AA11" s="18" t="str">
        <f t="shared" si="12"/>
        <v/>
      </c>
      <c r="AB11" s="18" t="str">
        <f t="shared" si="13"/>
        <v/>
      </c>
      <c r="AC11" s="19" t="str">
        <f t="shared" si="14"/>
        <v/>
      </c>
      <c r="AD11" s="18" t="s">
        <v>50</v>
      </c>
      <c r="AE11" s="18" t="str">
        <f t="shared" si="15"/>
        <v/>
      </c>
      <c r="AF11" s="18" t="str">
        <f t="shared" si="16"/>
        <v/>
      </c>
      <c r="AG11" s="19" t="str">
        <f t="shared" si="17"/>
        <v/>
      </c>
      <c r="AH11" s="18" t="s">
        <v>49</v>
      </c>
      <c r="AI11" s="18">
        <f t="shared" si="18"/>
        <v>160</v>
      </c>
      <c r="AJ11" s="18">
        <f t="shared" si="19"/>
        <v>80</v>
      </c>
      <c r="AK11" s="19">
        <f t="shared" si="20"/>
        <v>1.3333333333333333</v>
      </c>
    </row>
    <row r="12" spans="1:41" ht="9" customHeight="1" x14ac:dyDescent="0.2">
      <c r="A12" s="17">
        <v>4</v>
      </c>
      <c r="B12" s="3" t="s">
        <v>12</v>
      </c>
      <c r="C12" s="18">
        <v>3</v>
      </c>
      <c r="D12" s="18">
        <v>1</v>
      </c>
      <c r="E12" s="18">
        <v>4</v>
      </c>
      <c r="F12" s="19">
        <v>1</v>
      </c>
      <c r="G12" s="18" t="s">
        <v>42</v>
      </c>
      <c r="H12" s="19">
        <v>1</v>
      </c>
      <c r="I12" s="18">
        <v>3</v>
      </c>
      <c r="J12" s="18" t="s">
        <v>49</v>
      </c>
      <c r="K12" s="18">
        <f t="shared" si="0"/>
        <v>4</v>
      </c>
      <c r="L12" s="18">
        <f t="shared" si="1"/>
        <v>12</v>
      </c>
      <c r="M12" s="19">
        <f t="shared" si="2"/>
        <v>0.2</v>
      </c>
      <c r="N12" s="18" t="s">
        <v>49</v>
      </c>
      <c r="O12" s="18">
        <f t="shared" si="3"/>
        <v>4</v>
      </c>
      <c r="P12" s="18">
        <f t="shared" si="4"/>
        <v>12</v>
      </c>
      <c r="Q12" s="19">
        <f t="shared" si="5"/>
        <v>0.2</v>
      </c>
      <c r="R12" s="18" t="s">
        <v>49</v>
      </c>
      <c r="S12" s="18">
        <f t="shared" si="6"/>
        <v>4</v>
      </c>
      <c r="T12" s="18">
        <f t="shared" si="7"/>
        <v>12</v>
      </c>
      <c r="U12" s="19">
        <f t="shared" si="8"/>
        <v>0.2</v>
      </c>
      <c r="V12" s="18" t="s">
        <v>49</v>
      </c>
      <c r="W12" s="18">
        <f t="shared" si="9"/>
        <v>4</v>
      </c>
      <c r="X12" s="18">
        <f t="shared" si="10"/>
        <v>12</v>
      </c>
      <c r="Y12" s="19">
        <f t="shared" si="11"/>
        <v>0.2</v>
      </c>
      <c r="Z12" s="18" t="s">
        <v>49</v>
      </c>
      <c r="AA12" s="18">
        <f t="shared" si="12"/>
        <v>4</v>
      </c>
      <c r="AB12" s="18">
        <f t="shared" si="13"/>
        <v>12</v>
      </c>
      <c r="AC12" s="19">
        <f t="shared" si="14"/>
        <v>0.2</v>
      </c>
      <c r="AD12" s="18" t="s">
        <v>49</v>
      </c>
      <c r="AE12" s="18">
        <f t="shared" si="15"/>
        <v>4</v>
      </c>
      <c r="AF12" s="18">
        <f t="shared" si="16"/>
        <v>12</v>
      </c>
      <c r="AG12" s="19">
        <f t="shared" si="17"/>
        <v>0.2</v>
      </c>
      <c r="AH12" s="18" t="s">
        <v>49</v>
      </c>
      <c r="AI12" s="18">
        <f t="shared" si="18"/>
        <v>4</v>
      </c>
      <c r="AJ12" s="18">
        <f t="shared" si="19"/>
        <v>12</v>
      </c>
      <c r="AK12" s="19">
        <f t="shared" si="20"/>
        <v>0.2</v>
      </c>
    </row>
    <row r="13" spans="1:41" ht="9" customHeight="1" x14ac:dyDescent="0.2">
      <c r="A13" s="17">
        <v>5</v>
      </c>
      <c r="B13" s="3" t="s">
        <v>13</v>
      </c>
      <c r="C13" s="18">
        <v>2</v>
      </c>
      <c r="D13" s="18">
        <v>2</v>
      </c>
      <c r="E13" s="18">
        <v>10</v>
      </c>
      <c r="F13" s="19">
        <v>2</v>
      </c>
      <c r="G13" s="18" t="s">
        <v>42</v>
      </c>
      <c r="H13" s="19">
        <v>3</v>
      </c>
      <c r="I13" s="18">
        <v>2</v>
      </c>
      <c r="J13" s="18" t="s">
        <v>49</v>
      </c>
      <c r="K13" s="18">
        <f t="shared" si="0"/>
        <v>20</v>
      </c>
      <c r="L13" s="18">
        <f t="shared" si="1"/>
        <v>60</v>
      </c>
      <c r="M13" s="19">
        <f t="shared" si="2"/>
        <v>1</v>
      </c>
      <c r="N13" s="18" t="s">
        <v>49</v>
      </c>
      <c r="O13" s="18">
        <f t="shared" si="3"/>
        <v>20</v>
      </c>
      <c r="P13" s="18">
        <f t="shared" si="4"/>
        <v>60</v>
      </c>
      <c r="Q13" s="19">
        <f t="shared" si="5"/>
        <v>1</v>
      </c>
      <c r="R13" s="18" t="s">
        <v>49</v>
      </c>
      <c r="S13" s="18">
        <f t="shared" si="6"/>
        <v>20</v>
      </c>
      <c r="T13" s="18">
        <f t="shared" si="7"/>
        <v>60</v>
      </c>
      <c r="U13" s="19">
        <f t="shared" si="8"/>
        <v>1</v>
      </c>
      <c r="V13" s="18" t="s">
        <v>49</v>
      </c>
      <c r="W13" s="18">
        <f t="shared" si="9"/>
        <v>20</v>
      </c>
      <c r="X13" s="18">
        <f t="shared" si="10"/>
        <v>60</v>
      </c>
      <c r="Y13" s="19">
        <f t="shared" si="11"/>
        <v>1</v>
      </c>
      <c r="Z13" s="18" t="s">
        <v>49</v>
      </c>
      <c r="AA13" s="18">
        <f t="shared" si="12"/>
        <v>20</v>
      </c>
      <c r="AB13" s="18">
        <f t="shared" si="13"/>
        <v>60</v>
      </c>
      <c r="AC13" s="19">
        <f t="shared" si="14"/>
        <v>1</v>
      </c>
      <c r="AD13" s="18" t="s">
        <v>49</v>
      </c>
      <c r="AE13" s="18">
        <f t="shared" si="15"/>
        <v>20</v>
      </c>
      <c r="AF13" s="18">
        <f t="shared" si="16"/>
        <v>60</v>
      </c>
      <c r="AG13" s="19">
        <f t="shared" si="17"/>
        <v>1</v>
      </c>
      <c r="AH13" s="18" t="s">
        <v>49</v>
      </c>
      <c r="AI13" s="18">
        <f t="shared" si="18"/>
        <v>20</v>
      </c>
      <c r="AJ13" s="18">
        <f t="shared" si="19"/>
        <v>60</v>
      </c>
      <c r="AK13" s="19">
        <f t="shared" si="20"/>
        <v>1</v>
      </c>
    </row>
    <row r="14" spans="1:41" ht="9" customHeight="1" x14ac:dyDescent="0.2">
      <c r="A14" s="17">
        <v>6</v>
      </c>
      <c r="B14" s="3" t="s">
        <v>14</v>
      </c>
      <c r="C14" s="18">
        <v>1</v>
      </c>
      <c r="D14" s="18">
        <v>1</v>
      </c>
      <c r="E14" s="18">
        <v>25</v>
      </c>
      <c r="F14" s="19">
        <v>2</v>
      </c>
      <c r="G14" s="18" t="s">
        <v>42</v>
      </c>
      <c r="H14" s="19">
        <v>10</v>
      </c>
      <c r="I14" s="18">
        <v>2</v>
      </c>
      <c r="J14" s="18" t="s">
        <v>50</v>
      </c>
      <c r="K14" s="18" t="str">
        <f t="shared" si="0"/>
        <v/>
      </c>
      <c r="L14" s="18" t="str">
        <f t="shared" si="1"/>
        <v/>
      </c>
      <c r="M14" s="19" t="str">
        <f t="shared" si="2"/>
        <v/>
      </c>
      <c r="N14" s="18" t="s">
        <v>50</v>
      </c>
      <c r="O14" s="18" t="str">
        <f t="shared" si="3"/>
        <v/>
      </c>
      <c r="P14" s="18" t="str">
        <f t="shared" si="4"/>
        <v/>
      </c>
      <c r="Q14" s="19" t="str">
        <f t="shared" si="5"/>
        <v/>
      </c>
      <c r="R14" s="18" t="s">
        <v>49</v>
      </c>
      <c r="S14" s="18">
        <f t="shared" si="6"/>
        <v>25</v>
      </c>
      <c r="T14" s="18">
        <f t="shared" si="7"/>
        <v>500</v>
      </c>
      <c r="U14" s="19">
        <f t="shared" si="8"/>
        <v>8.3333333333333339</v>
      </c>
      <c r="V14" s="18" t="s">
        <v>49</v>
      </c>
      <c r="W14" s="18">
        <f t="shared" si="9"/>
        <v>25</v>
      </c>
      <c r="X14" s="18">
        <f t="shared" si="10"/>
        <v>500</v>
      </c>
      <c r="Y14" s="19">
        <f t="shared" si="11"/>
        <v>8.3333333333333339</v>
      </c>
      <c r="Z14" s="18" t="s">
        <v>49</v>
      </c>
      <c r="AA14" s="18">
        <f t="shared" si="12"/>
        <v>25</v>
      </c>
      <c r="AB14" s="18">
        <f t="shared" si="13"/>
        <v>250</v>
      </c>
      <c r="AC14" s="19">
        <f t="shared" si="14"/>
        <v>4.166666666666667</v>
      </c>
      <c r="AD14" s="18" t="s">
        <v>50</v>
      </c>
      <c r="AE14" s="18" t="str">
        <f t="shared" si="15"/>
        <v/>
      </c>
      <c r="AF14" s="18" t="str">
        <f t="shared" si="16"/>
        <v/>
      </c>
      <c r="AG14" s="19" t="str">
        <f t="shared" si="17"/>
        <v/>
      </c>
      <c r="AH14" s="18" t="s">
        <v>50</v>
      </c>
      <c r="AI14" s="18" t="str">
        <f t="shared" si="18"/>
        <v/>
      </c>
      <c r="AJ14" s="18" t="str">
        <f t="shared" si="19"/>
        <v/>
      </c>
      <c r="AK14" s="19" t="str">
        <f t="shared" si="20"/>
        <v/>
      </c>
    </row>
    <row r="15" spans="1:41" ht="9" customHeight="1" x14ac:dyDescent="0.2">
      <c r="A15" s="17">
        <v>7</v>
      </c>
      <c r="B15" s="3" t="s">
        <v>15</v>
      </c>
      <c r="C15" s="18">
        <v>1</v>
      </c>
      <c r="D15" s="18">
        <v>1</v>
      </c>
      <c r="E15" s="18">
        <v>40</v>
      </c>
      <c r="F15" s="19">
        <v>2</v>
      </c>
      <c r="G15" s="18" t="s">
        <v>42</v>
      </c>
      <c r="H15" s="19">
        <v>15</v>
      </c>
      <c r="I15" s="18">
        <v>1</v>
      </c>
      <c r="J15" s="18" t="s">
        <v>50</v>
      </c>
      <c r="K15" s="18" t="str">
        <f t="shared" si="0"/>
        <v/>
      </c>
      <c r="L15" s="18" t="str">
        <f t="shared" si="1"/>
        <v/>
      </c>
      <c r="M15" s="19" t="str">
        <f t="shared" si="2"/>
        <v/>
      </c>
      <c r="N15" s="18" t="s">
        <v>50</v>
      </c>
      <c r="O15" s="18" t="str">
        <f t="shared" si="3"/>
        <v/>
      </c>
      <c r="P15" s="18" t="str">
        <f t="shared" si="4"/>
        <v/>
      </c>
      <c r="Q15" s="19" t="str">
        <f t="shared" si="5"/>
        <v/>
      </c>
      <c r="R15" s="18" t="s">
        <v>49</v>
      </c>
      <c r="S15" s="18">
        <f t="shared" si="6"/>
        <v>40</v>
      </c>
      <c r="T15" s="18">
        <f t="shared" si="7"/>
        <v>600</v>
      </c>
      <c r="U15" s="19">
        <f t="shared" si="8"/>
        <v>10</v>
      </c>
      <c r="V15" s="18" t="s">
        <v>49</v>
      </c>
      <c r="W15" s="18">
        <f t="shared" si="9"/>
        <v>40</v>
      </c>
      <c r="X15" s="18">
        <f t="shared" si="10"/>
        <v>600</v>
      </c>
      <c r="Y15" s="19">
        <f t="shared" si="11"/>
        <v>10</v>
      </c>
      <c r="Z15" s="18" t="s">
        <v>49</v>
      </c>
      <c r="AA15" s="18">
        <f t="shared" si="12"/>
        <v>40</v>
      </c>
      <c r="AB15" s="18">
        <f t="shared" si="13"/>
        <v>200</v>
      </c>
      <c r="AC15" s="19">
        <f t="shared" si="14"/>
        <v>3.3333333333333335</v>
      </c>
      <c r="AD15" s="18" t="s">
        <v>50</v>
      </c>
      <c r="AE15" s="18" t="str">
        <f t="shared" si="15"/>
        <v/>
      </c>
      <c r="AF15" s="18" t="str">
        <f t="shared" si="16"/>
        <v/>
      </c>
      <c r="AG15" s="19" t="str">
        <f t="shared" si="17"/>
        <v/>
      </c>
      <c r="AH15" s="18" t="s">
        <v>50</v>
      </c>
      <c r="AI15" s="18" t="str">
        <f t="shared" si="18"/>
        <v/>
      </c>
      <c r="AJ15" s="18" t="str">
        <f t="shared" si="19"/>
        <v/>
      </c>
      <c r="AK15" s="19" t="str">
        <f t="shared" si="20"/>
        <v/>
      </c>
    </row>
    <row r="16" spans="1:41" ht="9" customHeight="1" x14ac:dyDescent="0.2">
      <c r="A16" s="17">
        <v>8</v>
      </c>
      <c r="B16" s="3" t="s">
        <v>16</v>
      </c>
      <c r="C16" s="18">
        <v>1</v>
      </c>
      <c r="D16" s="18">
        <v>1</v>
      </c>
      <c r="E16" s="18">
        <v>20</v>
      </c>
      <c r="F16" s="19">
        <v>2</v>
      </c>
      <c r="G16" s="18" t="s">
        <v>42</v>
      </c>
      <c r="H16" s="19">
        <v>15</v>
      </c>
      <c r="I16" s="18">
        <v>1</v>
      </c>
      <c r="J16" s="18" t="s">
        <v>49</v>
      </c>
      <c r="K16" s="18">
        <f t="shared" si="0"/>
        <v>20</v>
      </c>
      <c r="L16" s="18">
        <f t="shared" si="1"/>
        <v>300</v>
      </c>
      <c r="M16" s="19">
        <f t="shared" si="2"/>
        <v>5</v>
      </c>
      <c r="N16" s="18" t="s">
        <v>49</v>
      </c>
      <c r="O16" s="18">
        <f t="shared" si="3"/>
        <v>20</v>
      </c>
      <c r="P16" s="18">
        <f t="shared" si="4"/>
        <v>200</v>
      </c>
      <c r="Q16" s="19">
        <f t="shared" si="5"/>
        <v>3.3333333333333335</v>
      </c>
      <c r="R16" s="18" t="s">
        <v>49</v>
      </c>
      <c r="S16" s="18">
        <f t="shared" si="6"/>
        <v>20</v>
      </c>
      <c r="T16" s="18">
        <f t="shared" si="7"/>
        <v>300</v>
      </c>
      <c r="U16" s="19">
        <f t="shared" si="8"/>
        <v>5</v>
      </c>
      <c r="V16" s="18" t="s">
        <v>49</v>
      </c>
      <c r="W16" s="18">
        <f t="shared" si="9"/>
        <v>20</v>
      </c>
      <c r="X16" s="18">
        <f t="shared" si="10"/>
        <v>300</v>
      </c>
      <c r="Y16" s="19">
        <f t="shared" si="11"/>
        <v>5</v>
      </c>
      <c r="Z16" s="18" t="s">
        <v>49</v>
      </c>
      <c r="AA16" s="18">
        <f t="shared" si="12"/>
        <v>20</v>
      </c>
      <c r="AB16" s="18">
        <f t="shared" si="13"/>
        <v>100</v>
      </c>
      <c r="AC16" s="19">
        <f t="shared" si="14"/>
        <v>1.6666666666666667</v>
      </c>
      <c r="AD16" s="18" t="s">
        <v>49</v>
      </c>
      <c r="AE16" s="18">
        <f t="shared" si="15"/>
        <v>20</v>
      </c>
      <c r="AF16" s="18">
        <f t="shared" si="16"/>
        <v>300</v>
      </c>
      <c r="AG16" s="19">
        <f t="shared" si="17"/>
        <v>5</v>
      </c>
      <c r="AH16" s="18" t="s">
        <v>49</v>
      </c>
      <c r="AI16" s="18">
        <f t="shared" si="18"/>
        <v>20</v>
      </c>
      <c r="AJ16" s="18">
        <f t="shared" si="19"/>
        <v>200</v>
      </c>
      <c r="AK16" s="19">
        <f t="shared" si="20"/>
        <v>3.3333333333333335</v>
      </c>
    </row>
    <row r="17" spans="1:37" ht="17.100000000000001" customHeight="1" x14ac:dyDescent="0.2">
      <c r="A17" s="17">
        <v>9</v>
      </c>
      <c r="B17" s="3" t="s">
        <v>17</v>
      </c>
      <c r="C17" s="18">
        <v>2</v>
      </c>
      <c r="D17" s="18">
        <v>1</v>
      </c>
      <c r="E17" s="18">
        <v>10</v>
      </c>
      <c r="F17" s="19">
        <v>2</v>
      </c>
      <c r="G17" s="18" t="s">
        <v>42</v>
      </c>
      <c r="H17" s="19">
        <v>15</v>
      </c>
      <c r="I17" s="18">
        <v>1</v>
      </c>
      <c r="J17" s="18" t="s">
        <v>50</v>
      </c>
      <c r="K17" s="18" t="str">
        <f t="shared" si="0"/>
        <v/>
      </c>
      <c r="L17" s="18" t="str">
        <f t="shared" si="1"/>
        <v/>
      </c>
      <c r="M17" s="19" t="str">
        <f t="shared" si="2"/>
        <v/>
      </c>
      <c r="N17" s="18" t="s">
        <v>50</v>
      </c>
      <c r="O17" s="18" t="str">
        <f t="shared" si="3"/>
        <v/>
      </c>
      <c r="P17" s="18" t="str">
        <f t="shared" si="4"/>
        <v/>
      </c>
      <c r="Q17" s="19" t="str">
        <f t="shared" si="5"/>
        <v/>
      </c>
      <c r="R17" s="18" t="s">
        <v>49</v>
      </c>
      <c r="S17" s="18">
        <f t="shared" si="6"/>
        <v>10</v>
      </c>
      <c r="T17" s="18">
        <f t="shared" si="7"/>
        <v>150</v>
      </c>
      <c r="U17" s="19">
        <f t="shared" si="8"/>
        <v>2.5</v>
      </c>
      <c r="V17" s="18" t="s">
        <v>49</v>
      </c>
      <c r="W17" s="18">
        <f t="shared" si="9"/>
        <v>10</v>
      </c>
      <c r="X17" s="18">
        <f t="shared" si="10"/>
        <v>150</v>
      </c>
      <c r="Y17" s="19">
        <f t="shared" si="11"/>
        <v>2.5</v>
      </c>
      <c r="Z17" s="18" t="s">
        <v>50</v>
      </c>
      <c r="AA17" s="18" t="str">
        <f t="shared" si="12"/>
        <v/>
      </c>
      <c r="AB17" s="18" t="str">
        <f t="shared" si="13"/>
        <v/>
      </c>
      <c r="AC17" s="19" t="str">
        <f t="shared" si="14"/>
        <v/>
      </c>
      <c r="AD17" s="18" t="s">
        <v>49</v>
      </c>
      <c r="AE17" s="18">
        <f t="shared" si="15"/>
        <v>10</v>
      </c>
      <c r="AF17" s="18">
        <f t="shared" si="16"/>
        <v>150</v>
      </c>
      <c r="AG17" s="19">
        <f t="shared" si="17"/>
        <v>2.5</v>
      </c>
      <c r="AH17" s="18" t="s">
        <v>50</v>
      </c>
      <c r="AI17" s="18" t="str">
        <f t="shared" si="18"/>
        <v/>
      </c>
      <c r="AJ17" s="18" t="str">
        <f t="shared" si="19"/>
        <v/>
      </c>
      <c r="AK17" s="19" t="str">
        <f t="shared" si="20"/>
        <v/>
      </c>
    </row>
    <row r="18" spans="1:37" ht="9" customHeight="1" x14ac:dyDescent="0.2">
      <c r="A18" s="17">
        <v>10</v>
      </c>
      <c r="B18" s="3" t="s">
        <v>18</v>
      </c>
      <c r="C18" s="18">
        <v>1</v>
      </c>
      <c r="D18" s="18">
        <v>1</v>
      </c>
      <c r="E18" s="18">
        <v>5</v>
      </c>
      <c r="F18" s="19">
        <v>1</v>
      </c>
      <c r="G18" s="18" t="s">
        <v>42</v>
      </c>
      <c r="H18" s="19">
        <v>15</v>
      </c>
      <c r="I18" s="18">
        <v>1</v>
      </c>
      <c r="J18" s="18" t="s">
        <v>50</v>
      </c>
      <c r="K18" s="18" t="str">
        <f t="shared" si="0"/>
        <v/>
      </c>
      <c r="L18" s="18" t="str">
        <f t="shared" si="1"/>
        <v/>
      </c>
      <c r="M18" s="19" t="str">
        <f t="shared" si="2"/>
        <v/>
      </c>
      <c r="N18" s="18" t="s">
        <v>49</v>
      </c>
      <c r="O18" s="18">
        <f t="shared" si="3"/>
        <v>5</v>
      </c>
      <c r="P18" s="18">
        <f t="shared" si="4"/>
        <v>50</v>
      </c>
      <c r="Q18" s="19">
        <f t="shared" si="5"/>
        <v>0.83333333333333337</v>
      </c>
      <c r="R18" s="18" t="s">
        <v>49</v>
      </c>
      <c r="S18" s="18">
        <f t="shared" si="6"/>
        <v>5</v>
      </c>
      <c r="T18" s="18">
        <f t="shared" si="7"/>
        <v>75</v>
      </c>
      <c r="U18" s="19">
        <f t="shared" si="8"/>
        <v>1.25</v>
      </c>
      <c r="V18" s="18" t="s">
        <v>49</v>
      </c>
      <c r="W18" s="18">
        <f t="shared" si="9"/>
        <v>5</v>
      </c>
      <c r="X18" s="18">
        <f t="shared" si="10"/>
        <v>75</v>
      </c>
      <c r="Y18" s="19">
        <f t="shared" si="11"/>
        <v>1.25</v>
      </c>
      <c r="Z18" s="18" t="s">
        <v>49</v>
      </c>
      <c r="AA18" s="18">
        <f t="shared" si="12"/>
        <v>5</v>
      </c>
      <c r="AB18" s="18">
        <f t="shared" si="13"/>
        <v>25</v>
      </c>
      <c r="AC18" s="19">
        <f t="shared" si="14"/>
        <v>0.41666666666666669</v>
      </c>
      <c r="AD18" s="18" t="s">
        <v>49</v>
      </c>
      <c r="AE18" s="18">
        <f t="shared" si="15"/>
        <v>5</v>
      </c>
      <c r="AF18" s="18">
        <f t="shared" si="16"/>
        <v>75</v>
      </c>
      <c r="AG18" s="19">
        <f t="shared" si="17"/>
        <v>1.25</v>
      </c>
      <c r="AH18" s="18" t="s">
        <v>49</v>
      </c>
      <c r="AI18" s="18">
        <f t="shared" si="18"/>
        <v>5</v>
      </c>
      <c r="AJ18" s="18">
        <f t="shared" si="19"/>
        <v>50</v>
      </c>
      <c r="AK18" s="19">
        <f t="shared" si="20"/>
        <v>0.83333333333333337</v>
      </c>
    </row>
    <row r="19" spans="1:37" ht="9" customHeight="1" x14ac:dyDescent="0.2">
      <c r="A19" s="17">
        <v>11</v>
      </c>
      <c r="B19" s="3" t="s">
        <v>19</v>
      </c>
      <c r="C19" s="18">
        <v>2</v>
      </c>
      <c r="D19" s="18">
        <v>2</v>
      </c>
      <c r="E19" s="18">
        <v>5</v>
      </c>
      <c r="F19" s="19">
        <v>1.5</v>
      </c>
      <c r="G19" s="18" t="s">
        <v>43</v>
      </c>
      <c r="H19" s="3" t="s">
        <v>20</v>
      </c>
      <c r="I19" s="3" t="s">
        <v>20</v>
      </c>
      <c r="J19" s="18" t="s">
        <v>49</v>
      </c>
      <c r="K19" s="18">
        <f t="shared" si="0"/>
        <v>10</v>
      </c>
      <c r="L19" s="18">
        <f t="shared" si="1"/>
        <v>300</v>
      </c>
      <c r="M19" s="19">
        <f t="shared" si="2"/>
        <v>5</v>
      </c>
      <c r="N19" s="18" t="s">
        <v>49</v>
      </c>
      <c r="O19" s="18">
        <f t="shared" si="3"/>
        <v>10</v>
      </c>
      <c r="P19" s="18">
        <f t="shared" si="4"/>
        <v>100</v>
      </c>
      <c r="Q19" s="19">
        <f t="shared" si="5"/>
        <v>1.6666666666666667</v>
      </c>
      <c r="R19" s="18" t="s">
        <v>49</v>
      </c>
      <c r="S19" s="18">
        <f t="shared" si="6"/>
        <v>10</v>
      </c>
      <c r="T19" s="18">
        <f t="shared" si="7"/>
        <v>600</v>
      </c>
      <c r="U19" s="19">
        <f t="shared" si="8"/>
        <v>10</v>
      </c>
      <c r="V19" s="18" t="s">
        <v>49</v>
      </c>
      <c r="W19" s="18">
        <f t="shared" si="9"/>
        <v>10</v>
      </c>
      <c r="X19" s="18">
        <f t="shared" si="10"/>
        <v>600</v>
      </c>
      <c r="Y19" s="19">
        <f t="shared" si="11"/>
        <v>10</v>
      </c>
      <c r="Z19" s="18" t="s">
        <v>49</v>
      </c>
      <c r="AA19" s="18">
        <f t="shared" si="12"/>
        <v>10</v>
      </c>
      <c r="AB19" s="18">
        <f t="shared" si="13"/>
        <v>50</v>
      </c>
      <c r="AC19" s="19">
        <f t="shared" si="14"/>
        <v>0.83333333333333337</v>
      </c>
      <c r="AD19" s="18" t="s">
        <v>49</v>
      </c>
      <c r="AE19" s="18">
        <f t="shared" si="15"/>
        <v>10</v>
      </c>
      <c r="AF19" s="18">
        <f t="shared" si="16"/>
        <v>600</v>
      </c>
      <c r="AG19" s="19">
        <f t="shared" si="17"/>
        <v>10</v>
      </c>
      <c r="AH19" s="18" t="s">
        <v>49</v>
      </c>
      <c r="AI19" s="18">
        <f t="shared" si="18"/>
        <v>10</v>
      </c>
      <c r="AJ19" s="18">
        <f t="shared" si="19"/>
        <v>100</v>
      </c>
      <c r="AK19" s="19">
        <f t="shared" si="20"/>
        <v>1.6666666666666667</v>
      </c>
    </row>
    <row r="20" spans="1:37" ht="17.100000000000001" customHeight="1" x14ac:dyDescent="0.2">
      <c r="A20" s="17">
        <v>12</v>
      </c>
      <c r="B20" s="3" t="s">
        <v>21</v>
      </c>
      <c r="C20" s="18">
        <v>2</v>
      </c>
      <c r="D20" s="18">
        <v>2</v>
      </c>
      <c r="E20" s="18">
        <v>10</v>
      </c>
      <c r="F20" s="19">
        <v>2</v>
      </c>
      <c r="G20" s="18" t="s">
        <v>43</v>
      </c>
      <c r="H20" s="3" t="s">
        <v>20</v>
      </c>
      <c r="I20" s="3" t="s">
        <v>20</v>
      </c>
      <c r="J20" s="18" t="s">
        <v>50</v>
      </c>
      <c r="K20" s="18" t="str">
        <f t="shared" si="0"/>
        <v/>
      </c>
      <c r="L20" s="18" t="str">
        <f t="shared" si="1"/>
        <v/>
      </c>
      <c r="M20" s="19" t="str">
        <f t="shared" si="2"/>
        <v/>
      </c>
      <c r="N20" s="18" t="s">
        <v>49</v>
      </c>
      <c r="O20" s="18">
        <f t="shared" si="3"/>
        <v>20</v>
      </c>
      <c r="P20" s="18">
        <f t="shared" si="4"/>
        <v>200</v>
      </c>
      <c r="Q20" s="19">
        <f t="shared" si="5"/>
        <v>3.3333333333333335</v>
      </c>
      <c r="R20" s="18" t="s">
        <v>49</v>
      </c>
      <c r="S20" s="18">
        <f t="shared" si="6"/>
        <v>20</v>
      </c>
      <c r="T20" s="18">
        <f t="shared" si="7"/>
        <v>1200</v>
      </c>
      <c r="U20" s="19">
        <f t="shared" si="8"/>
        <v>20</v>
      </c>
      <c r="V20" s="18" t="s">
        <v>49</v>
      </c>
      <c r="W20" s="18">
        <f t="shared" si="9"/>
        <v>20</v>
      </c>
      <c r="X20" s="18">
        <f t="shared" si="10"/>
        <v>1200</v>
      </c>
      <c r="Y20" s="19">
        <f t="shared" si="11"/>
        <v>20</v>
      </c>
      <c r="Z20" s="18" t="s">
        <v>49</v>
      </c>
      <c r="AA20" s="18">
        <f t="shared" si="12"/>
        <v>20</v>
      </c>
      <c r="AB20" s="18">
        <f t="shared" si="13"/>
        <v>100</v>
      </c>
      <c r="AC20" s="19">
        <f t="shared" si="14"/>
        <v>1.6666666666666667</v>
      </c>
      <c r="AD20" s="18" t="s">
        <v>49</v>
      </c>
      <c r="AE20" s="18">
        <f t="shared" si="15"/>
        <v>20</v>
      </c>
      <c r="AF20" s="18">
        <f t="shared" si="16"/>
        <v>1200</v>
      </c>
      <c r="AG20" s="19">
        <f t="shared" si="17"/>
        <v>20</v>
      </c>
      <c r="AH20" s="18" t="s">
        <v>49</v>
      </c>
      <c r="AI20" s="18">
        <f t="shared" si="18"/>
        <v>20</v>
      </c>
      <c r="AJ20" s="18">
        <f t="shared" si="19"/>
        <v>200</v>
      </c>
      <c r="AK20" s="19">
        <f t="shared" si="20"/>
        <v>3.3333333333333335</v>
      </c>
    </row>
    <row r="21" spans="1:37" ht="9" customHeight="1" x14ac:dyDescent="0.2">
      <c r="A21" s="17">
        <v>13</v>
      </c>
      <c r="B21" s="3" t="s">
        <v>22</v>
      </c>
      <c r="C21" s="18">
        <v>12</v>
      </c>
      <c r="D21" s="18">
        <v>12</v>
      </c>
      <c r="E21" s="18">
        <v>1</v>
      </c>
      <c r="F21" s="19">
        <v>0.5</v>
      </c>
      <c r="G21" s="18" t="s">
        <v>43</v>
      </c>
      <c r="H21" s="3" t="s">
        <v>20</v>
      </c>
      <c r="I21" s="3" t="s">
        <v>20</v>
      </c>
      <c r="J21" s="18" t="s">
        <v>49</v>
      </c>
      <c r="K21" s="18">
        <f t="shared" si="0"/>
        <v>12</v>
      </c>
      <c r="L21" s="18">
        <f t="shared" si="1"/>
        <v>360</v>
      </c>
      <c r="M21" s="19">
        <f t="shared" si="2"/>
        <v>6</v>
      </c>
      <c r="N21" s="18" t="s">
        <v>49</v>
      </c>
      <c r="O21" s="18">
        <f t="shared" si="3"/>
        <v>12</v>
      </c>
      <c r="P21" s="18">
        <f t="shared" si="4"/>
        <v>120</v>
      </c>
      <c r="Q21" s="19">
        <f t="shared" si="5"/>
        <v>2</v>
      </c>
      <c r="R21" s="18" t="s">
        <v>49</v>
      </c>
      <c r="S21" s="18">
        <f t="shared" si="6"/>
        <v>12</v>
      </c>
      <c r="T21" s="18">
        <f t="shared" si="7"/>
        <v>720</v>
      </c>
      <c r="U21" s="19">
        <f t="shared" si="8"/>
        <v>12</v>
      </c>
      <c r="V21" s="18" t="s">
        <v>49</v>
      </c>
      <c r="W21" s="18">
        <f t="shared" si="9"/>
        <v>12</v>
      </c>
      <c r="X21" s="18">
        <f t="shared" si="10"/>
        <v>720</v>
      </c>
      <c r="Y21" s="19">
        <f t="shared" si="11"/>
        <v>12</v>
      </c>
      <c r="Z21" s="18" t="s">
        <v>49</v>
      </c>
      <c r="AA21" s="18">
        <f t="shared" si="12"/>
        <v>12</v>
      </c>
      <c r="AB21" s="18">
        <f t="shared" si="13"/>
        <v>60</v>
      </c>
      <c r="AC21" s="19">
        <f t="shared" si="14"/>
        <v>1</v>
      </c>
      <c r="AD21" s="18" t="s">
        <v>49</v>
      </c>
      <c r="AE21" s="18">
        <f t="shared" si="15"/>
        <v>12</v>
      </c>
      <c r="AF21" s="18">
        <f t="shared" si="16"/>
        <v>720</v>
      </c>
      <c r="AG21" s="19">
        <f t="shared" si="17"/>
        <v>12</v>
      </c>
      <c r="AH21" s="18" t="s">
        <v>49</v>
      </c>
      <c r="AI21" s="18">
        <f t="shared" si="18"/>
        <v>12</v>
      </c>
      <c r="AJ21" s="18">
        <f t="shared" si="19"/>
        <v>120</v>
      </c>
      <c r="AK21" s="19">
        <f t="shared" si="20"/>
        <v>2</v>
      </c>
    </row>
    <row r="22" spans="1:37" ht="9" customHeight="1" x14ac:dyDescent="0.2">
      <c r="A22" s="3" t="s">
        <v>23</v>
      </c>
      <c r="B22" s="3" t="s">
        <v>24</v>
      </c>
      <c r="C22" s="18">
        <v>5</v>
      </c>
      <c r="D22" s="18">
        <v>5</v>
      </c>
      <c r="E22" s="18">
        <v>1</v>
      </c>
      <c r="F22" s="19">
        <v>0.5</v>
      </c>
      <c r="G22" s="18" t="s">
        <v>43</v>
      </c>
      <c r="H22" s="3" t="s">
        <v>20</v>
      </c>
      <c r="I22" s="3" t="s">
        <v>20</v>
      </c>
      <c r="J22" s="18" t="s">
        <v>49</v>
      </c>
      <c r="K22" s="18">
        <f t="shared" si="0"/>
        <v>5</v>
      </c>
      <c r="L22" s="18">
        <f t="shared" si="1"/>
        <v>150</v>
      </c>
      <c r="M22" s="19">
        <f t="shared" si="2"/>
        <v>2.5</v>
      </c>
      <c r="N22" s="18" t="s">
        <v>49</v>
      </c>
      <c r="O22" s="18">
        <f t="shared" si="3"/>
        <v>5</v>
      </c>
      <c r="P22" s="18">
        <f t="shared" si="4"/>
        <v>50</v>
      </c>
      <c r="Q22" s="19">
        <f t="shared" si="5"/>
        <v>0.83333333333333337</v>
      </c>
      <c r="R22" s="18" t="s">
        <v>50</v>
      </c>
      <c r="S22" s="18" t="str">
        <f t="shared" si="6"/>
        <v/>
      </c>
      <c r="T22" s="18" t="str">
        <f t="shared" si="7"/>
        <v/>
      </c>
      <c r="U22" s="19" t="str">
        <f t="shared" si="8"/>
        <v/>
      </c>
      <c r="V22" s="18" t="s">
        <v>49</v>
      </c>
      <c r="W22" s="18">
        <f t="shared" si="9"/>
        <v>5</v>
      </c>
      <c r="X22" s="18">
        <f t="shared" si="10"/>
        <v>300</v>
      </c>
      <c r="Y22" s="19">
        <f t="shared" si="11"/>
        <v>5</v>
      </c>
      <c r="Z22" s="18" t="s">
        <v>49</v>
      </c>
      <c r="AA22" s="18">
        <f t="shared" si="12"/>
        <v>5</v>
      </c>
      <c r="AB22" s="18">
        <f t="shared" si="13"/>
        <v>25</v>
      </c>
      <c r="AC22" s="19">
        <f t="shared" si="14"/>
        <v>0.41666666666666669</v>
      </c>
      <c r="AD22" s="18" t="s">
        <v>49</v>
      </c>
      <c r="AE22" s="18">
        <f t="shared" si="15"/>
        <v>5</v>
      </c>
      <c r="AF22" s="18">
        <f t="shared" si="16"/>
        <v>300</v>
      </c>
      <c r="AG22" s="19">
        <f t="shared" si="17"/>
        <v>5</v>
      </c>
      <c r="AH22" s="18" t="s">
        <v>49</v>
      </c>
      <c r="AI22" s="18">
        <f t="shared" si="18"/>
        <v>5</v>
      </c>
      <c r="AJ22" s="18">
        <f t="shared" si="19"/>
        <v>50</v>
      </c>
      <c r="AK22" s="19">
        <f t="shared" si="20"/>
        <v>0.83333333333333337</v>
      </c>
    </row>
    <row r="23" spans="1:37" ht="17.100000000000001" customHeight="1" x14ac:dyDescent="0.2">
      <c r="A23" s="3" t="s">
        <v>25</v>
      </c>
      <c r="B23" s="3" t="s">
        <v>26</v>
      </c>
      <c r="C23" s="18">
        <v>10</v>
      </c>
      <c r="D23" s="18">
        <v>10</v>
      </c>
      <c r="E23" s="18">
        <v>1</v>
      </c>
      <c r="F23" s="19">
        <v>0.5</v>
      </c>
      <c r="G23" s="18" t="s">
        <v>43</v>
      </c>
      <c r="H23" s="3" t="s">
        <v>20</v>
      </c>
      <c r="I23" s="3" t="s">
        <v>20</v>
      </c>
      <c r="J23" s="18" t="s">
        <v>49</v>
      </c>
      <c r="K23" s="18">
        <f t="shared" si="0"/>
        <v>10</v>
      </c>
      <c r="L23" s="18">
        <f t="shared" si="1"/>
        <v>300</v>
      </c>
      <c r="M23" s="19">
        <f t="shared" si="2"/>
        <v>5</v>
      </c>
      <c r="N23" s="18" t="s">
        <v>49</v>
      </c>
      <c r="O23" s="18">
        <f t="shared" si="3"/>
        <v>10</v>
      </c>
      <c r="P23" s="18">
        <f t="shared" si="4"/>
        <v>100</v>
      </c>
      <c r="Q23" s="19">
        <f t="shared" si="5"/>
        <v>1.6666666666666667</v>
      </c>
      <c r="R23" s="18" t="s">
        <v>50</v>
      </c>
      <c r="S23" s="18" t="str">
        <f t="shared" si="6"/>
        <v/>
      </c>
      <c r="T23" s="18" t="str">
        <f t="shared" si="7"/>
        <v/>
      </c>
      <c r="U23" s="19" t="str">
        <f t="shared" si="8"/>
        <v/>
      </c>
      <c r="V23" s="18" t="s">
        <v>49</v>
      </c>
      <c r="W23" s="18">
        <f t="shared" si="9"/>
        <v>10</v>
      </c>
      <c r="X23" s="18">
        <f t="shared" si="10"/>
        <v>600</v>
      </c>
      <c r="Y23" s="19">
        <f t="shared" si="11"/>
        <v>10</v>
      </c>
      <c r="Z23" s="18" t="s">
        <v>49</v>
      </c>
      <c r="AA23" s="18">
        <f t="shared" si="12"/>
        <v>10</v>
      </c>
      <c r="AB23" s="18">
        <f t="shared" si="13"/>
        <v>50</v>
      </c>
      <c r="AC23" s="19">
        <f t="shared" si="14"/>
        <v>0.83333333333333337</v>
      </c>
      <c r="AD23" s="18" t="s">
        <v>50</v>
      </c>
      <c r="AE23" s="18" t="str">
        <f t="shared" si="15"/>
        <v/>
      </c>
      <c r="AF23" s="18" t="str">
        <f t="shared" si="16"/>
        <v/>
      </c>
      <c r="AG23" s="19" t="str">
        <f t="shared" si="17"/>
        <v/>
      </c>
      <c r="AH23" s="18" t="s">
        <v>50</v>
      </c>
      <c r="AI23" s="18" t="str">
        <f t="shared" si="18"/>
        <v/>
      </c>
      <c r="AJ23" s="18" t="str">
        <f t="shared" si="19"/>
        <v/>
      </c>
      <c r="AK23" s="19" t="str">
        <f t="shared" si="20"/>
        <v/>
      </c>
    </row>
    <row r="24" spans="1:37" ht="9" customHeight="1" x14ac:dyDescent="0.2">
      <c r="A24" s="17">
        <v>15</v>
      </c>
      <c r="B24" s="3" t="s">
        <v>27</v>
      </c>
      <c r="C24" s="18">
        <v>5</v>
      </c>
      <c r="D24" s="18">
        <v>5</v>
      </c>
      <c r="E24" s="18">
        <v>1</v>
      </c>
      <c r="F24" s="19">
        <v>0.5</v>
      </c>
      <c r="G24" s="18" t="s">
        <v>43</v>
      </c>
      <c r="H24" s="3" t="s">
        <v>20</v>
      </c>
      <c r="I24" s="3" t="s">
        <v>20</v>
      </c>
      <c r="J24" s="18" t="s">
        <v>49</v>
      </c>
      <c r="K24" s="18">
        <f t="shared" si="0"/>
        <v>5</v>
      </c>
      <c r="L24" s="18">
        <f t="shared" si="1"/>
        <v>150</v>
      </c>
      <c r="M24" s="19">
        <f t="shared" si="2"/>
        <v>2.5</v>
      </c>
      <c r="N24" s="18" t="s">
        <v>49</v>
      </c>
      <c r="O24" s="18">
        <f t="shared" si="3"/>
        <v>5</v>
      </c>
      <c r="P24" s="18">
        <f t="shared" si="4"/>
        <v>50</v>
      </c>
      <c r="Q24" s="19">
        <f t="shared" si="5"/>
        <v>0.83333333333333337</v>
      </c>
      <c r="R24" s="18" t="s">
        <v>50</v>
      </c>
      <c r="S24" s="18" t="str">
        <f t="shared" si="6"/>
        <v/>
      </c>
      <c r="T24" s="18" t="str">
        <f t="shared" si="7"/>
        <v/>
      </c>
      <c r="U24" s="19" t="str">
        <f t="shared" si="8"/>
        <v/>
      </c>
      <c r="V24" s="18" t="s">
        <v>49</v>
      </c>
      <c r="W24" s="18">
        <f t="shared" si="9"/>
        <v>5</v>
      </c>
      <c r="X24" s="18">
        <f t="shared" si="10"/>
        <v>300</v>
      </c>
      <c r="Y24" s="19">
        <f t="shared" si="11"/>
        <v>5</v>
      </c>
      <c r="Z24" s="18" t="s">
        <v>49</v>
      </c>
      <c r="AA24" s="18">
        <f t="shared" si="12"/>
        <v>5</v>
      </c>
      <c r="AB24" s="18">
        <f t="shared" si="13"/>
        <v>25</v>
      </c>
      <c r="AC24" s="19">
        <f t="shared" si="14"/>
        <v>0.41666666666666669</v>
      </c>
      <c r="AD24" s="18" t="s">
        <v>49</v>
      </c>
      <c r="AE24" s="18">
        <f t="shared" si="15"/>
        <v>5</v>
      </c>
      <c r="AF24" s="18">
        <f t="shared" si="16"/>
        <v>300</v>
      </c>
      <c r="AG24" s="19">
        <f t="shared" si="17"/>
        <v>5</v>
      </c>
      <c r="AH24" s="18" t="s">
        <v>49</v>
      </c>
      <c r="AI24" s="18">
        <f t="shared" si="18"/>
        <v>5</v>
      </c>
      <c r="AJ24" s="18">
        <f t="shared" si="19"/>
        <v>50</v>
      </c>
      <c r="AK24" s="19">
        <f t="shared" si="20"/>
        <v>0.83333333333333337</v>
      </c>
    </row>
    <row r="25" spans="1:37" ht="9" customHeight="1" x14ac:dyDescent="0.2">
      <c r="A25" s="17">
        <v>16</v>
      </c>
      <c r="B25" s="3" t="s">
        <v>28</v>
      </c>
      <c r="C25" s="18">
        <v>6</v>
      </c>
      <c r="D25" s="18">
        <v>6</v>
      </c>
      <c r="E25" s="18">
        <v>5</v>
      </c>
      <c r="F25" s="19">
        <v>1.5</v>
      </c>
      <c r="G25" s="18" t="s">
        <v>43</v>
      </c>
      <c r="H25" s="3" t="s">
        <v>20</v>
      </c>
      <c r="I25" s="3" t="s">
        <v>20</v>
      </c>
      <c r="J25" s="18" t="s">
        <v>49</v>
      </c>
      <c r="K25" s="18">
        <f t="shared" si="0"/>
        <v>30</v>
      </c>
      <c r="L25" s="18">
        <f t="shared" si="1"/>
        <v>900</v>
      </c>
      <c r="M25" s="19">
        <f t="shared" si="2"/>
        <v>15</v>
      </c>
      <c r="N25" s="18" t="s">
        <v>49</v>
      </c>
      <c r="O25" s="18">
        <f t="shared" si="3"/>
        <v>30</v>
      </c>
      <c r="P25" s="18">
        <f t="shared" si="4"/>
        <v>300</v>
      </c>
      <c r="Q25" s="19">
        <f t="shared" si="5"/>
        <v>5</v>
      </c>
      <c r="R25" s="18" t="s">
        <v>49</v>
      </c>
      <c r="S25" s="18">
        <f t="shared" si="6"/>
        <v>30</v>
      </c>
      <c r="T25" s="18">
        <f t="shared" si="7"/>
        <v>1800</v>
      </c>
      <c r="U25" s="19">
        <f t="shared" si="8"/>
        <v>30</v>
      </c>
      <c r="V25" s="18" t="s">
        <v>49</v>
      </c>
      <c r="W25" s="18">
        <f t="shared" si="9"/>
        <v>30</v>
      </c>
      <c r="X25" s="18">
        <f t="shared" si="10"/>
        <v>1800</v>
      </c>
      <c r="Y25" s="19">
        <f t="shared" si="11"/>
        <v>30</v>
      </c>
      <c r="Z25" s="18" t="s">
        <v>49</v>
      </c>
      <c r="AA25" s="18">
        <f t="shared" si="12"/>
        <v>30</v>
      </c>
      <c r="AB25" s="18">
        <f t="shared" si="13"/>
        <v>150</v>
      </c>
      <c r="AC25" s="19">
        <f t="shared" si="14"/>
        <v>2.5</v>
      </c>
      <c r="AD25" s="18" t="s">
        <v>50</v>
      </c>
      <c r="AE25" s="18" t="str">
        <f t="shared" si="15"/>
        <v/>
      </c>
      <c r="AF25" s="18" t="str">
        <f t="shared" si="16"/>
        <v/>
      </c>
      <c r="AG25" s="19" t="str">
        <f t="shared" si="17"/>
        <v/>
      </c>
      <c r="AH25" s="18" t="s">
        <v>50</v>
      </c>
      <c r="AI25" s="18" t="str">
        <f t="shared" si="18"/>
        <v/>
      </c>
      <c r="AJ25" s="18" t="str">
        <f t="shared" si="19"/>
        <v/>
      </c>
      <c r="AK25" s="19" t="str">
        <f t="shared" si="20"/>
        <v/>
      </c>
    </row>
    <row r="26" spans="1:37" ht="9" customHeight="1" x14ac:dyDescent="0.2">
      <c r="A26" s="17">
        <v>17</v>
      </c>
      <c r="B26" s="3" t="s">
        <v>29</v>
      </c>
      <c r="C26" s="18">
        <v>1</v>
      </c>
      <c r="D26" s="18">
        <v>1</v>
      </c>
      <c r="E26" s="18">
        <v>15</v>
      </c>
      <c r="F26" s="19">
        <v>2</v>
      </c>
      <c r="G26" s="18" t="s">
        <v>43</v>
      </c>
      <c r="H26" s="3" t="s">
        <v>20</v>
      </c>
      <c r="I26" s="3" t="s">
        <v>20</v>
      </c>
      <c r="J26" s="18" t="s">
        <v>49</v>
      </c>
      <c r="K26" s="18">
        <f t="shared" si="0"/>
        <v>15</v>
      </c>
      <c r="L26" s="18">
        <f t="shared" si="1"/>
        <v>450</v>
      </c>
      <c r="M26" s="19">
        <f t="shared" si="2"/>
        <v>7.5</v>
      </c>
      <c r="N26" s="18" t="s">
        <v>49</v>
      </c>
      <c r="O26" s="18">
        <f t="shared" si="3"/>
        <v>15</v>
      </c>
      <c r="P26" s="18">
        <f t="shared" si="4"/>
        <v>150</v>
      </c>
      <c r="Q26" s="19">
        <f t="shared" si="5"/>
        <v>2.5</v>
      </c>
      <c r="R26" s="18" t="s">
        <v>49</v>
      </c>
      <c r="S26" s="18">
        <f t="shared" si="6"/>
        <v>15</v>
      </c>
      <c r="T26" s="18">
        <f t="shared" si="7"/>
        <v>900</v>
      </c>
      <c r="U26" s="19">
        <f t="shared" si="8"/>
        <v>15</v>
      </c>
      <c r="V26" s="18" t="s">
        <v>49</v>
      </c>
      <c r="W26" s="18">
        <f t="shared" si="9"/>
        <v>15</v>
      </c>
      <c r="X26" s="18">
        <f t="shared" si="10"/>
        <v>900</v>
      </c>
      <c r="Y26" s="19">
        <f t="shared" si="11"/>
        <v>15</v>
      </c>
      <c r="Z26" s="18" t="s">
        <v>49</v>
      </c>
      <c r="AA26" s="18">
        <f t="shared" si="12"/>
        <v>15</v>
      </c>
      <c r="AB26" s="18">
        <f t="shared" si="13"/>
        <v>75</v>
      </c>
      <c r="AC26" s="19">
        <f t="shared" si="14"/>
        <v>1.25</v>
      </c>
      <c r="AD26" s="18" t="s">
        <v>50</v>
      </c>
      <c r="AE26" s="18" t="str">
        <f t="shared" si="15"/>
        <v/>
      </c>
      <c r="AF26" s="18" t="str">
        <f t="shared" si="16"/>
        <v/>
      </c>
      <c r="AG26" s="19" t="str">
        <f t="shared" si="17"/>
        <v/>
      </c>
      <c r="AH26" s="18" t="s">
        <v>50</v>
      </c>
      <c r="AI26" s="18" t="str">
        <f t="shared" si="18"/>
        <v/>
      </c>
      <c r="AJ26" s="18" t="str">
        <f t="shared" si="19"/>
        <v/>
      </c>
      <c r="AK26" s="19" t="str">
        <f t="shared" si="20"/>
        <v/>
      </c>
    </row>
    <row r="27" spans="1:37" ht="9" customHeight="1" x14ac:dyDescent="0.2">
      <c r="A27" s="17">
        <v>18</v>
      </c>
      <c r="B27" s="3" t="s">
        <v>30</v>
      </c>
      <c r="C27" s="18">
        <v>1</v>
      </c>
      <c r="D27" s="18">
        <v>1</v>
      </c>
      <c r="E27" s="18">
        <v>5</v>
      </c>
      <c r="F27" s="19">
        <v>1</v>
      </c>
      <c r="G27" s="18" t="s">
        <v>43</v>
      </c>
      <c r="H27" s="3" t="s">
        <v>20</v>
      </c>
      <c r="I27" s="3" t="s">
        <v>20</v>
      </c>
      <c r="J27" s="18" t="s">
        <v>50</v>
      </c>
      <c r="K27" s="18" t="str">
        <f t="shared" si="0"/>
        <v/>
      </c>
      <c r="L27" s="18" t="str">
        <f t="shared" si="1"/>
        <v/>
      </c>
      <c r="M27" s="19" t="str">
        <f t="shared" si="2"/>
        <v/>
      </c>
      <c r="N27" s="18" t="s">
        <v>50</v>
      </c>
      <c r="O27" s="18" t="str">
        <f t="shared" si="3"/>
        <v/>
      </c>
      <c r="P27" s="18" t="str">
        <f t="shared" si="4"/>
        <v/>
      </c>
      <c r="Q27" s="19" t="str">
        <f t="shared" si="5"/>
        <v/>
      </c>
      <c r="R27" s="18" t="s">
        <v>49</v>
      </c>
      <c r="S27" s="18">
        <f t="shared" si="6"/>
        <v>5</v>
      </c>
      <c r="T27" s="18">
        <f t="shared" si="7"/>
        <v>300</v>
      </c>
      <c r="U27" s="19">
        <f t="shared" si="8"/>
        <v>5</v>
      </c>
      <c r="V27" s="18" t="s">
        <v>49</v>
      </c>
      <c r="W27" s="18">
        <f t="shared" si="9"/>
        <v>5</v>
      </c>
      <c r="X27" s="18">
        <f t="shared" si="10"/>
        <v>300</v>
      </c>
      <c r="Y27" s="19">
        <f t="shared" si="11"/>
        <v>5</v>
      </c>
      <c r="Z27" s="18" t="s">
        <v>49</v>
      </c>
      <c r="AA27" s="18">
        <f t="shared" si="12"/>
        <v>5</v>
      </c>
      <c r="AB27" s="18">
        <f t="shared" si="13"/>
        <v>25</v>
      </c>
      <c r="AC27" s="19">
        <f t="shared" si="14"/>
        <v>0.41666666666666669</v>
      </c>
      <c r="AD27" s="18" t="s">
        <v>50</v>
      </c>
      <c r="AE27" s="18" t="str">
        <f t="shared" si="15"/>
        <v/>
      </c>
      <c r="AF27" s="18" t="str">
        <f t="shared" si="16"/>
        <v/>
      </c>
      <c r="AG27" s="19" t="str">
        <f t="shared" si="17"/>
        <v/>
      </c>
      <c r="AH27" s="18" t="s">
        <v>50</v>
      </c>
      <c r="AI27" s="18" t="str">
        <f t="shared" si="18"/>
        <v/>
      </c>
      <c r="AJ27" s="18" t="str">
        <f t="shared" si="19"/>
        <v/>
      </c>
      <c r="AK27" s="19" t="str">
        <f t="shared" si="20"/>
        <v/>
      </c>
    </row>
    <row r="28" spans="1:37" ht="9" customHeight="1" x14ac:dyDescent="0.2">
      <c r="A28" s="17">
        <v>19</v>
      </c>
      <c r="B28" s="3" t="s">
        <v>31</v>
      </c>
      <c r="C28" s="18">
        <v>1</v>
      </c>
      <c r="D28" s="18">
        <v>1</v>
      </c>
      <c r="E28" s="18">
        <v>5</v>
      </c>
      <c r="F28" s="19">
        <v>1</v>
      </c>
      <c r="G28" s="18" t="s">
        <v>43</v>
      </c>
      <c r="H28" s="3" t="s">
        <v>20</v>
      </c>
      <c r="I28" s="3" t="s">
        <v>20</v>
      </c>
      <c r="J28" s="18" t="s">
        <v>49</v>
      </c>
      <c r="K28" s="18">
        <f t="shared" si="0"/>
        <v>5</v>
      </c>
      <c r="L28" s="18">
        <f t="shared" si="1"/>
        <v>150</v>
      </c>
      <c r="M28" s="19">
        <f t="shared" si="2"/>
        <v>2.5</v>
      </c>
      <c r="N28" s="18" t="s">
        <v>49</v>
      </c>
      <c r="O28" s="18">
        <f t="shared" si="3"/>
        <v>5</v>
      </c>
      <c r="P28" s="18">
        <f t="shared" si="4"/>
        <v>50</v>
      </c>
      <c r="Q28" s="19">
        <f t="shared" si="5"/>
        <v>0.83333333333333337</v>
      </c>
      <c r="R28" s="18" t="s">
        <v>49</v>
      </c>
      <c r="S28" s="18">
        <f t="shared" si="6"/>
        <v>5</v>
      </c>
      <c r="T28" s="18">
        <f t="shared" si="7"/>
        <v>300</v>
      </c>
      <c r="U28" s="19">
        <f t="shared" si="8"/>
        <v>5</v>
      </c>
      <c r="V28" s="18" t="s">
        <v>49</v>
      </c>
      <c r="W28" s="18">
        <f t="shared" si="9"/>
        <v>5</v>
      </c>
      <c r="X28" s="18">
        <f t="shared" si="10"/>
        <v>300</v>
      </c>
      <c r="Y28" s="19">
        <f t="shared" si="11"/>
        <v>5</v>
      </c>
      <c r="Z28" s="18" t="s">
        <v>49</v>
      </c>
      <c r="AA28" s="18">
        <f t="shared" si="12"/>
        <v>5</v>
      </c>
      <c r="AB28" s="18">
        <f t="shared" si="13"/>
        <v>25</v>
      </c>
      <c r="AC28" s="19">
        <f t="shared" si="14"/>
        <v>0.41666666666666669</v>
      </c>
      <c r="AD28" s="18" t="s">
        <v>49</v>
      </c>
      <c r="AE28" s="18">
        <f t="shared" si="15"/>
        <v>5</v>
      </c>
      <c r="AF28" s="18">
        <f t="shared" si="16"/>
        <v>300</v>
      </c>
      <c r="AG28" s="19">
        <f t="shared" si="17"/>
        <v>5</v>
      </c>
      <c r="AH28" s="18" t="s">
        <v>49</v>
      </c>
      <c r="AI28" s="18">
        <f t="shared" si="18"/>
        <v>5</v>
      </c>
      <c r="AJ28" s="18">
        <f t="shared" si="19"/>
        <v>50</v>
      </c>
      <c r="AK28" s="19">
        <f t="shared" si="20"/>
        <v>0.83333333333333337</v>
      </c>
    </row>
    <row r="29" spans="1:37" ht="9" customHeight="1" x14ac:dyDescent="0.2">
      <c r="A29" s="17">
        <v>20</v>
      </c>
      <c r="B29" s="3" t="s">
        <v>32</v>
      </c>
      <c r="C29" s="18">
        <v>1</v>
      </c>
      <c r="D29" s="18">
        <v>1</v>
      </c>
      <c r="E29" s="18">
        <v>5</v>
      </c>
      <c r="F29" s="19">
        <v>1</v>
      </c>
      <c r="G29" s="18" t="s">
        <v>43</v>
      </c>
      <c r="H29" s="3" t="s">
        <v>20</v>
      </c>
      <c r="I29" s="3" t="s">
        <v>20</v>
      </c>
      <c r="J29" s="18" t="s">
        <v>49</v>
      </c>
      <c r="K29" s="18">
        <f t="shared" si="0"/>
        <v>5</v>
      </c>
      <c r="L29" s="18">
        <f t="shared" si="1"/>
        <v>150</v>
      </c>
      <c r="M29" s="19">
        <f t="shared" si="2"/>
        <v>2.5</v>
      </c>
      <c r="N29" s="18" t="s">
        <v>49</v>
      </c>
      <c r="O29" s="18">
        <f t="shared" si="3"/>
        <v>5</v>
      </c>
      <c r="P29" s="18">
        <f t="shared" si="4"/>
        <v>50</v>
      </c>
      <c r="Q29" s="19">
        <f t="shared" si="5"/>
        <v>0.83333333333333337</v>
      </c>
      <c r="R29" s="18" t="s">
        <v>49</v>
      </c>
      <c r="S29" s="18">
        <f t="shared" si="6"/>
        <v>5</v>
      </c>
      <c r="T29" s="18">
        <f t="shared" si="7"/>
        <v>300</v>
      </c>
      <c r="U29" s="19">
        <f t="shared" si="8"/>
        <v>5</v>
      </c>
      <c r="V29" s="18" t="s">
        <v>49</v>
      </c>
      <c r="W29" s="18">
        <f t="shared" si="9"/>
        <v>5</v>
      </c>
      <c r="X29" s="18">
        <f t="shared" si="10"/>
        <v>300</v>
      </c>
      <c r="Y29" s="19">
        <f t="shared" si="11"/>
        <v>5</v>
      </c>
      <c r="Z29" s="18" t="s">
        <v>49</v>
      </c>
      <c r="AA29" s="18">
        <f t="shared" si="12"/>
        <v>5</v>
      </c>
      <c r="AB29" s="18">
        <f t="shared" si="13"/>
        <v>25</v>
      </c>
      <c r="AC29" s="19">
        <f t="shared" si="14"/>
        <v>0.41666666666666669</v>
      </c>
      <c r="AD29" s="18" t="s">
        <v>49</v>
      </c>
      <c r="AE29" s="18">
        <f t="shared" si="15"/>
        <v>5</v>
      </c>
      <c r="AF29" s="18">
        <f t="shared" si="16"/>
        <v>300</v>
      </c>
      <c r="AG29" s="19">
        <f t="shared" si="17"/>
        <v>5</v>
      </c>
      <c r="AH29" s="18" t="s">
        <v>49</v>
      </c>
      <c r="AI29" s="18">
        <f t="shared" si="18"/>
        <v>5</v>
      </c>
      <c r="AJ29" s="18">
        <f t="shared" si="19"/>
        <v>50</v>
      </c>
      <c r="AK29" s="19">
        <f t="shared" si="20"/>
        <v>0.83333333333333337</v>
      </c>
    </row>
    <row r="30" spans="1:37" ht="9" customHeight="1" x14ac:dyDescent="0.2">
      <c r="A30" s="17">
        <v>21</v>
      </c>
      <c r="B30" s="3" t="s">
        <v>33</v>
      </c>
      <c r="C30" s="18">
        <v>1</v>
      </c>
      <c r="D30" s="18">
        <v>1</v>
      </c>
      <c r="E30" s="18">
        <v>5</v>
      </c>
      <c r="F30" s="19">
        <v>1</v>
      </c>
      <c r="G30" s="18" t="s">
        <v>43</v>
      </c>
      <c r="H30" s="3" t="s">
        <v>20</v>
      </c>
      <c r="I30" s="3" t="s">
        <v>20</v>
      </c>
      <c r="J30" s="18" t="s">
        <v>49</v>
      </c>
      <c r="K30" s="18">
        <f t="shared" si="0"/>
        <v>5</v>
      </c>
      <c r="L30" s="18">
        <f t="shared" si="1"/>
        <v>150</v>
      </c>
      <c r="M30" s="19">
        <f t="shared" si="2"/>
        <v>2.5</v>
      </c>
      <c r="N30" s="18" t="s">
        <v>49</v>
      </c>
      <c r="O30" s="18">
        <f t="shared" si="3"/>
        <v>5</v>
      </c>
      <c r="P30" s="18">
        <f t="shared" si="4"/>
        <v>50</v>
      </c>
      <c r="Q30" s="19">
        <f t="shared" si="5"/>
        <v>0.83333333333333337</v>
      </c>
      <c r="R30" s="18" t="s">
        <v>49</v>
      </c>
      <c r="S30" s="18">
        <f t="shared" si="6"/>
        <v>5</v>
      </c>
      <c r="T30" s="18">
        <f t="shared" si="7"/>
        <v>300</v>
      </c>
      <c r="U30" s="19">
        <f t="shared" si="8"/>
        <v>5</v>
      </c>
      <c r="V30" s="18" t="s">
        <v>49</v>
      </c>
      <c r="W30" s="18">
        <f t="shared" si="9"/>
        <v>5</v>
      </c>
      <c r="X30" s="18">
        <f t="shared" si="10"/>
        <v>300</v>
      </c>
      <c r="Y30" s="19">
        <f t="shared" si="11"/>
        <v>5</v>
      </c>
      <c r="Z30" s="18" t="s">
        <v>49</v>
      </c>
      <c r="AA30" s="18">
        <f t="shared" si="12"/>
        <v>5</v>
      </c>
      <c r="AB30" s="18">
        <f t="shared" si="13"/>
        <v>25</v>
      </c>
      <c r="AC30" s="19">
        <f t="shared" si="14"/>
        <v>0.41666666666666669</v>
      </c>
      <c r="AD30" s="18" t="s">
        <v>49</v>
      </c>
      <c r="AE30" s="18">
        <f t="shared" si="15"/>
        <v>5</v>
      </c>
      <c r="AF30" s="18">
        <f t="shared" si="16"/>
        <v>300</v>
      </c>
      <c r="AG30" s="19">
        <f t="shared" si="17"/>
        <v>5</v>
      </c>
      <c r="AH30" s="18" t="s">
        <v>49</v>
      </c>
      <c r="AI30" s="18">
        <f t="shared" si="18"/>
        <v>5</v>
      </c>
      <c r="AJ30" s="18">
        <f t="shared" si="19"/>
        <v>50</v>
      </c>
      <c r="AK30" s="19">
        <f t="shared" si="20"/>
        <v>0.83333333333333337</v>
      </c>
    </row>
    <row r="31" spans="1:37" ht="9" customHeight="1" x14ac:dyDescent="0.2">
      <c r="A31" s="3"/>
      <c r="B31" s="3"/>
      <c r="C31" s="3"/>
      <c r="D31" s="3"/>
      <c r="E31" s="3"/>
      <c r="F31" s="55" t="s">
        <v>61</v>
      </c>
      <c r="G31" s="56"/>
      <c r="H31" s="56"/>
      <c r="I31" s="57"/>
      <c r="J31" s="18"/>
      <c r="K31" s="18"/>
      <c r="L31" s="18">
        <f>SUM(L9:L30)</f>
        <v>3462</v>
      </c>
      <c r="M31" s="19">
        <f>SUM(M9:M30)</f>
        <v>57.7</v>
      </c>
      <c r="N31" s="18"/>
      <c r="O31" s="18"/>
      <c r="P31" s="18">
        <f>SUM(P9:P30)</f>
        <v>1677</v>
      </c>
      <c r="Q31" s="19">
        <f>SUM(Q9:Q30)</f>
        <v>27.949999999999996</v>
      </c>
      <c r="R31" s="18"/>
      <c r="S31" s="18"/>
      <c r="T31" s="18">
        <f>SUM(T9:T30)</f>
        <v>8117</v>
      </c>
      <c r="U31" s="19">
        <f>SUM(U9:U30)</f>
        <v>135.28333333333333</v>
      </c>
      <c r="V31" s="18"/>
      <c r="W31" s="18"/>
      <c r="X31" s="18">
        <f>SUM(X9:X30)</f>
        <v>9317</v>
      </c>
      <c r="Y31" s="19">
        <f>SUM(Y9:Y30)</f>
        <v>155.28333333333333</v>
      </c>
      <c r="Z31" s="18"/>
      <c r="AA31" s="18"/>
      <c r="AB31" s="18">
        <f>SUM(AB9:AB30)</f>
        <v>1307</v>
      </c>
      <c r="AC31" s="19">
        <f>SUM(AC9:AC30)</f>
        <v>21.783333333333339</v>
      </c>
      <c r="AD31" s="18"/>
      <c r="AE31" s="18"/>
      <c r="AF31" s="18">
        <f>SUM(AF9:AF30)</f>
        <v>4617</v>
      </c>
      <c r="AG31" s="19">
        <f>SUM(AG9:AG30)</f>
        <v>76.95</v>
      </c>
      <c r="AH31" s="18"/>
      <c r="AI31" s="18"/>
      <c r="AJ31" s="18">
        <f>SUM(AJ9:AJ30)</f>
        <v>1102</v>
      </c>
      <c r="AK31" s="19">
        <f>SUM(AK9:AK30)</f>
        <v>18.366666666666667</v>
      </c>
    </row>
    <row r="32" spans="1:37" ht="9" customHeight="1" x14ac:dyDescent="0.2">
      <c r="A32" s="3"/>
      <c r="B32" s="3"/>
      <c r="C32" s="3"/>
      <c r="D32" s="3"/>
      <c r="E32" s="3"/>
      <c r="F32" s="60" t="s">
        <v>34</v>
      </c>
      <c r="G32" s="56"/>
      <c r="H32" s="56"/>
      <c r="I32" s="57"/>
      <c r="J32" s="18"/>
      <c r="K32" s="18">
        <f>SUM(K9:K30)</f>
        <v>266</v>
      </c>
      <c r="L32" s="18" t="str">
        <f t="shared" si="1"/>
        <v/>
      </c>
      <c r="M32" s="18" t="str">
        <f t="shared" si="2"/>
        <v/>
      </c>
      <c r="N32" s="18"/>
      <c r="O32" s="18">
        <f>SUM(O9:O30)</f>
        <v>551</v>
      </c>
      <c r="P32" s="18" t="str">
        <f t="shared" ref="P32" si="21">IF(ISERROR(IF($G32="cont",O32*P$7,IF($H32&lt;P$7,$H32*O32)*$I32/$D32)),"",IF($G32="cont",O32*P$7,IF($H32&lt;P$7,$H32*O32)*$I32/$D32))</f>
        <v/>
      </c>
      <c r="Q32" s="18" t="str">
        <f t="shared" ref="Q32" si="22">IF(ISERROR(P32/60),"",P32/60)</f>
        <v/>
      </c>
      <c r="R32" s="18"/>
      <c r="S32" s="18">
        <f>SUM(S9:S30)</f>
        <v>231</v>
      </c>
      <c r="T32" s="18" t="str">
        <f t="shared" ref="T32" si="23">IF(ISERROR(IF($G32="cont",S32*T$7,IF($H32&lt;T$7,$H32*S32)*$I32/$D32)),"",IF($G32="cont",S32*T$7,IF($H32&lt;T$7,$H32*S32)*$I32/$D32))</f>
        <v/>
      </c>
      <c r="U32" s="18" t="str">
        <f t="shared" ref="U32" si="24">IF(ISERROR(T32/60),"",T32/60)</f>
        <v/>
      </c>
      <c r="V32" s="18"/>
      <c r="W32" s="18">
        <f>SUM(W9:W30)</f>
        <v>251</v>
      </c>
      <c r="X32" s="18" t="str">
        <f t="shared" ref="X32" si="25">IF(ISERROR(IF($G32="cont",W32*X$7,IF($H32&lt;X$7,$H32*W32)*$I32/$D32)),"",IF($G32="cont",W32*X$7,IF($H32&lt;X$7,$H32*W32)*$I32/$D32))</f>
        <v/>
      </c>
      <c r="Y32" s="18" t="str">
        <f t="shared" ref="Y32" si="26">IF(ISERROR(X32/60),"",X32/60)</f>
        <v/>
      </c>
      <c r="Z32" s="18"/>
      <c r="AA32" s="18">
        <f>SUM(AA9:AA30)</f>
        <v>341</v>
      </c>
      <c r="AB32" s="18" t="str">
        <f t="shared" ref="AB32" si="27">IF(ISERROR(IF($G32="cont",AA32*AB$7,IF($H32&lt;AB$7,$H32*AA32)*$I32/$D32)),"",IF($G32="cont",AA32*AB$7,IF($H32&lt;AB$7,$H32*AA32)*$I32/$D32))</f>
        <v/>
      </c>
      <c r="AC32" s="18" t="str">
        <f t="shared" ref="AC32" si="28">IF(ISERROR(AB32/60),"",AB32/60)</f>
        <v/>
      </c>
      <c r="AD32" s="18"/>
      <c r="AE32" s="18">
        <f>SUM(AE9:AE30)</f>
        <v>126</v>
      </c>
      <c r="AF32" s="18" t="str">
        <f t="shared" ref="AF32" si="29">IF(ISERROR(IF($G32="cont",AE32*AF$7,IF($H32&lt;AF$7,$H32*AE32)*$I32/$D32)),"",IF($G32="cont",AE32*AF$7,IF($H32&lt;AF$7,$H32*AE32)*$I32/$D32))</f>
        <v/>
      </c>
      <c r="AG32" s="18" t="str">
        <f t="shared" ref="AG32" si="30">IF(ISERROR(AF32/60),"",AF32/60)</f>
        <v/>
      </c>
      <c r="AH32" s="18"/>
      <c r="AI32" s="18">
        <f>SUM(AI9:AI30)</f>
        <v>396</v>
      </c>
      <c r="AJ32" s="18" t="str">
        <f t="shared" ref="AJ32" si="31">IF(ISERROR(IF($G32="cont",AI32*AJ$7,IF($H32&lt;AJ$7,$H32*AI32)*$I32/$D32)),"",IF($G32="cont",AI32*AJ$7,IF($H32&lt;AJ$7,$H32*AI32)*$I32/$D32))</f>
        <v/>
      </c>
      <c r="AK32" s="18" t="str">
        <f t="shared" ref="AK32" si="32">IF(ISERROR(AJ32/60),"",AJ32/60)</f>
        <v/>
      </c>
    </row>
    <row r="33" spans="1:37" ht="9" customHeight="1" x14ac:dyDescent="0.2">
      <c r="A33" s="3"/>
      <c r="B33" s="3"/>
      <c r="C33" s="3"/>
      <c r="D33" s="3"/>
      <c r="E33" s="3"/>
      <c r="F33" s="55" t="s">
        <v>45</v>
      </c>
      <c r="G33" s="56"/>
      <c r="H33" s="56"/>
      <c r="I33" s="57"/>
      <c r="J33" s="18"/>
      <c r="K33" s="18"/>
      <c r="L33" s="18">
        <f>($C$3*$G$3)-L31</f>
        <v>2538</v>
      </c>
      <c r="M33" s="19">
        <f>($G$4*$G$5)-M31</f>
        <v>16.299999999999997</v>
      </c>
      <c r="N33" s="18"/>
      <c r="O33" s="18"/>
      <c r="P33" s="18">
        <f>($C$3*$G$3)-P31</f>
        <v>4323</v>
      </c>
      <c r="Q33" s="19">
        <f>($G$4*$G$5)-Q31</f>
        <v>46.050000000000004</v>
      </c>
      <c r="R33" s="18"/>
      <c r="S33" s="18"/>
      <c r="T33" s="18">
        <f>($C$3*$G$3)-T31</f>
        <v>-2117</v>
      </c>
      <c r="U33" s="19">
        <f>($G$4*$G$5)-U31</f>
        <v>-61.283333333333331</v>
      </c>
      <c r="V33" s="18"/>
      <c r="W33" s="18"/>
      <c r="X33" s="18">
        <f>($C$3*$G$3)-X31</f>
        <v>-3317</v>
      </c>
      <c r="Y33" s="19">
        <f>($G$4*$G$5)-Y31</f>
        <v>-81.283333333333331</v>
      </c>
      <c r="Z33" s="18"/>
      <c r="AA33" s="18"/>
      <c r="AB33" s="18">
        <f>($C$3*$G$3)-AB31</f>
        <v>4693</v>
      </c>
      <c r="AC33" s="19">
        <f>($G$4*$G$5)-AC31</f>
        <v>52.216666666666661</v>
      </c>
      <c r="AD33" s="18"/>
      <c r="AE33" s="18"/>
      <c r="AF33" s="18">
        <f>($C$3*$G$3)-AF31</f>
        <v>1383</v>
      </c>
      <c r="AG33" s="19">
        <f>($G$4*$G$5)-AG31</f>
        <v>-2.9500000000000028</v>
      </c>
      <c r="AH33" s="18"/>
      <c r="AI33" s="18"/>
      <c r="AJ33" s="18">
        <f>($C$3*$G$3)-AJ31</f>
        <v>4898</v>
      </c>
      <c r="AK33" s="19">
        <f>($G$4*$G$5)-AK31</f>
        <v>55.633333333333333</v>
      </c>
    </row>
    <row r="34" spans="1:37" ht="15" customHeight="1" x14ac:dyDescent="0.2">
      <c r="F34" s="55" t="s">
        <v>60</v>
      </c>
      <c r="G34" s="56"/>
      <c r="H34" s="56"/>
      <c r="I34" s="57"/>
      <c r="L34" s="20">
        <f>L33/($C$3*$G$3)</f>
        <v>0.42299999999999999</v>
      </c>
      <c r="M34" s="20">
        <f>M33/($G$4*$G$5)</f>
        <v>0.22027027027027024</v>
      </c>
      <c r="P34" s="20">
        <f>P33/($C$3*$G$3)</f>
        <v>0.72050000000000003</v>
      </c>
      <c r="Q34" s="20">
        <f>Q33/($G$4*$G$5)</f>
        <v>0.62229729729729732</v>
      </c>
      <c r="T34" s="20">
        <f>T33/($C$3*$G$3)</f>
        <v>-0.35283333333333333</v>
      </c>
      <c r="U34" s="20">
        <f>U33/($G$4*$G$5)</f>
        <v>-0.82815315315315308</v>
      </c>
      <c r="X34" s="20">
        <f>X33/($C$3*$G$3)</f>
        <v>-0.55283333333333329</v>
      </c>
      <c r="Y34" s="20">
        <f>Y33/($G$4*$G$5)</f>
        <v>-1.0984234234234234</v>
      </c>
      <c r="AB34" s="20">
        <f>AB33/($C$3*$G$3)</f>
        <v>0.78216666666666668</v>
      </c>
      <c r="AC34" s="20">
        <f>AC33/($G$4*$G$5)</f>
        <v>0.70563063063063058</v>
      </c>
      <c r="AF34" s="20">
        <f>AF33/($C$3*$G$3)</f>
        <v>0.23050000000000001</v>
      </c>
      <c r="AG34" s="20">
        <f>AG33/($G$4*$G$5)</f>
        <v>-3.9864864864864902E-2</v>
      </c>
      <c r="AJ34" s="20">
        <f>AJ33/($C$3*$G$3)</f>
        <v>0.81633333333333336</v>
      </c>
      <c r="AK34" s="20">
        <f>AK33/($G$4*$G$5)</f>
        <v>0.75180180180180178</v>
      </c>
    </row>
    <row r="35" spans="1:37" ht="15" customHeight="1" x14ac:dyDescent="0.2"/>
    <row r="36" spans="1:37" x14ac:dyDescent="0.2">
      <c r="A36" s="38" t="s">
        <v>139</v>
      </c>
      <c r="B36" s="38"/>
      <c r="C36" s="38"/>
      <c r="D36" s="38"/>
      <c r="E36" s="38"/>
      <c r="F36" s="38"/>
      <c r="G36" s="38"/>
      <c r="H36" s="3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</sheetData>
  <mergeCells count="29">
    <mergeCell ref="AJ6:AK6"/>
    <mergeCell ref="AH6:AI6"/>
    <mergeCell ref="J6:K6"/>
    <mergeCell ref="N6:O6"/>
    <mergeCell ref="R6:S6"/>
    <mergeCell ref="AB6:AC6"/>
    <mergeCell ref="L6:M6"/>
    <mergeCell ref="E3:F3"/>
    <mergeCell ref="E4:F4"/>
    <mergeCell ref="E5:F5"/>
    <mergeCell ref="G4:I4"/>
    <mergeCell ref="G5:I5"/>
    <mergeCell ref="A3:B3"/>
    <mergeCell ref="C3:D3"/>
    <mergeCell ref="A4:B4"/>
    <mergeCell ref="C4:D4"/>
    <mergeCell ref="A5:B5"/>
    <mergeCell ref="C5:D5"/>
    <mergeCell ref="F34:I34"/>
    <mergeCell ref="P6:Q6"/>
    <mergeCell ref="T6:U6"/>
    <mergeCell ref="X6:Y6"/>
    <mergeCell ref="AF6:AG6"/>
    <mergeCell ref="F31:I31"/>
    <mergeCell ref="F32:I32"/>
    <mergeCell ref="F33:I33"/>
    <mergeCell ref="V6:W6"/>
    <mergeCell ref="Z6:AA6"/>
    <mergeCell ref="AD6:AE6"/>
  </mergeCells>
  <dataValidations count="2">
    <dataValidation type="list" allowBlank="1" showInputMessage="1" showErrorMessage="1" sqref="G9:G30">
      <formula1>$AN$4:$AN$6</formula1>
    </dataValidation>
    <dataValidation type="list" allowBlank="1" showInputMessage="1" showErrorMessage="1" sqref="J9:J30 AD9:AD30 V9:V30 N9:N30 R9:R30 Z9:Z30 AH9:AH30">
      <formula1>$AO$4:$AO$6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"/>
  <sheetViews>
    <sheetView zoomScale="130" zoomScaleNormal="130" workbookViewId="0">
      <selection activeCell="K16" sqref="K16"/>
    </sheetView>
  </sheetViews>
  <sheetFormatPr defaultRowHeight="12.75" x14ac:dyDescent="0.2"/>
  <cols>
    <col min="1" max="1" width="10.6640625" style="1" customWidth="1"/>
    <col min="2" max="2" width="25.6640625" style="1" customWidth="1"/>
    <col min="3" max="3" width="9.33203125" style="1"/>
    <col min="4" max="4" width="12.1640625" style="1" customWidth="1"/>
    <col min="5" max="5" width="6.5" style="1" customWidth="1"/>
    <col min="6" max="6" width="6.33203125" style="1" customWidth="1"/>
    <col min="7" max="7" width="7.33203125" style="1" customWidth="1"/>
    <col min="8" max="9" width="6.33203125" style="1" customWidth="1"/>
    <col min="10" max="10" width="7" style="1" customWidth="1"/>
    <col min="11" max="11" width="8.83203125" style="1" customWidth="1"/>
    <col min="12" max="12" width="9" style="1" customWidth="1"/>
    <col min="13" max="13" width="7.1640625" style="1" customWidth="1"/>
    <col min="14" max="14" width="7.6640625" style="1" customWidth="1"/>
    <col min="15" max="15" width="9.83203125" style="1" customWidth="1"/>
    <col min="16" max="16" width="8.6640625" style="1" customWidth="1"/>
    <col min="17" max="17" width="6.6640625" style="1" customWidth="1"/>
    <col min="18" max="18" width="7.5" style="1" customWidth="1"/>
    <col min="19" max="19" width="8.5" style="1" customWidth="1"/>
    <col min="20" max="20" width="8.6640625" style="1" customWidth="1"/>
    <col min="21" max="21" width="1.33203125" style="1" hidden="1" customWidth="1"/>
    <col min="22" max="22" width="8.6640625" style="1" customWidth="1"/>
    <col min="23" max="23" width="8.33203125" style="1" customWidth="1"/>
    <col min="24" max="24" width="9.33203125" style="1"/>
    <col min="25" max="25" width="9.33203125" style="1" customWidth="1"/>
    <col min="26" max="26" width="9.33203125" style="1" hidden="1" customWidth="1"/>
    <col min="27" max="27" width="7.33203125" style="1" customWidth="1"/>
    <col min="28" max="28" width="9.33203125" style="1"/>
    <col min="29" max="29" width="9.1640625" style="1" customWidth="1"/>
    <col min="30" max="30" width="9.33203125" style="1" hidden="1" customWidth="1"/>
    <col min="31" max="31" width="9.33203125" style="1" customWidth="1"/>
    <col min="32" max="32" width="7.1640625" style="1" customWidth="1"/>
    <col min="33" max="34" width="9.33203125" style="1"/>
    <col min="35" max="35" width="10.6640625" style="1" customWidth="1"/>
    <col min="36" max="16384" width="9.33203125" style="1"/>
  </cols>
  <sheetData>
    <row r="1" spans="1:39" ht="12.75" customHeight="1" x14ac:dyDescent="0.2">
      <c r="A1" s="44" t="s">
        <v>62</v>
      </c>
      <c r="B1" s="21"/>
      <c r="C1" s="21" t="s">
        <v>63</v>
      </c>
      <c r="D1" s="21"/>
      <c r="E1" s="44" t="s">
        <v>101</v>
      </c>
      <c r="F1" s="54" t="s">
        <v>64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9" ht="14.25" customHeight="1" x14ac:dyDescent="0.2">
      <c r="A2" s="44" t="s">
        <v>65</v>
      </c>
      <c r="B2" s="21"/>
      <c r="C2" s="21">
        <v>300</v>
      </c>
      <c r="D2" s="21"/>
      <c r="E2" s="21"/>
      <c r="F2" s="70" t="s">
        <v>92</v>
      </c>
      <c r="G2" s="84"/>
      <c r="H2" s="71"/>
      <c r="I2" s="47"/>
      <c r="J2" s="90" t="s">
        <v>99</v>
      </c>
      <c r="K2" s="91"/>
      <c r="L2" s="92"/>
      <c r="M2" s="48" t="s">
        <v>66</v>
      </c>
      <c r="N2" s="70" t="s">
        <v>93</v>
      </c>
      <c r="O2" s="84"/>
      <c r="P2" s="71"/>
      <c r="Q2" s="49" t="s">
        <v>66</v>
      </c>
      <c r="R2" s="74" t="s">
        <v>94</v>
      </c>
      <c r="S2" s="85"/>
      <c r="T2" s="75"/>
      <c r="U2" s="34"/>
      <c r="V2" s="48" t="s">
        <v>66</v>
      </c>
      <c r="W2" s="70" t="s">
        <v>95</v>
      </c>
      <c r="X2" s="84"/>
      <c r="Y2" s="71"/>
      <c r="Z2" s="34"/>
      <c r="AA2" s="49" t="s">
        <v>66</v>
      </c>
      <c r="AB2" s="74" t="s">
        <v>96</v>
      </c>
      <c r="AC2" s="85"/>
      <c r="AD2" s="85"/>
      <c r="AE2" s="75"/>
      <c r="AF2" s="48" t="s">
        <v>66</v>
      </c>
      <c r="AG2" s="70" t="s">
        <v>97</v>
      </c>
      <c r="AH2" s="84"/>
      <c r="AI2" s="71"/>
      <c r="AJ2" s="49" t="s">
        <v>66</v>
      </c>
      <c r="AK2" s="74" t="s">
        <v>98</v>
      </c>
      <c r="AL2" s="85"/>
      <c r="AM2" s="75"/>
    </row>
    <row r="3" spans="1:39" x14ac:dyDescent="0.2">
      <c r="A3" s="44" t="s">
        <v>67</v>
      </c>
      <c r="B3" s="44" t="s">
        <v>68</v>
      </c>
      <c r="C3" s="44" t="s">
        <v>69</v>
      </c>
      <c r="D3" s="44" t="s">
        <v>70</v>
      </c>
      <c r="E3" s="44" t="s">
        <v>71</v>
      </c>
      <c r="F3" s="45" t="s">
        <v>72</v>
      </c>
      <c r="G3" s="40" t="s">
        <v>73</v>
      </c>
      <c r="H3" s="45" t="s">
        <v>74</v>
      </c>
      <c r="I3" s="44" t="s">
        <v>100</v>
      </c>
      <c r="J3" s="44" t="s">
        <v>72</v>
      </c>
      <c r="K3" s="44" t="s">
        <v>73</v>
      </c>
      <c r="L3" s="44" t="s">
        <v>74</v>
      </c>
      <c r="M3" s="45"/>
      <c r="N3" s="45" t="s">
        <v>72</v>
      </c>
      <c r="O3" s="45" t="s">
        <v>73</v>
      </c>
      <c r="P3" s="45" t="s">
        <v>74</v>
      </c>
      <c r="Q3" s="46"/>
      <c r="R3" s="46" t="s">
        <v>72</v>
      </c>
      <c r="S3" s="46" t="s">
        <v>73</v>
      </c>
      <c r="T3" s="46" t="s">
        <v>74</v>
      </c>
      <c r="U3" s="34"/>
      <c r="V3" s="45"/>
      <c r="W3" s="45" t="s">
        <v>72</v>
      </c>
      <c r="X3" s="45" t="s">
        <v>73</v>
      </c>
      <c r="Y3" s="45" t="s">
        <v>74</v>
      </c>
      <c r="Z3" s="34"/>
      <c r="AA3" s="46"/>
      <c r="AB3" s="46" t="s">
        <v>72</v>
      </c>
      <c r="AC3" s="46" t="s">
        <v>73</v>
      </c>
      <c r="AD3" s="46" t="s">
        <v>74</v>
      </c>
      <c r="AE3" s="46" t="s">
        <v>74</v>
      </c>
      <c r="AF3" s="45"/>
      <c r="AG3" s="45" t="s">
        <v>72</v>
      </c>
      <c r="AH3" s="45" t="s">
        <v>73</v>
      </c>
      <c r="AI3" s="45" t="s">
        <v>74</v>
      </c>
      <c r="AJ3" s="46"/>
      <c r="AK3" s="46" t="s">
        <v>72</v>
      </c>
      <c r="AL3" s="46" t="s">
        <v>73</v>
      </c>
      <c r="AM3" s="46" t="s">
        <v>74</v>
      </c>
    </row>
    <row r="4" spans="1:39" x14ac:dyDescent="0.2">
      <c r="A4" s="21">
        <v>1</v>
      </c>
      <c r="B4" s="22" t="s">
        <v>75</v>
      </c>
      <c r="C4" s="21">
        <v>28</v>
      </c>
      <c r="D4" s="22" t="s">
        <v>76</v>
      </c>
      <c r="E4" s="21">
        <v>-0.8</v>
      </c>
      <c r="F4" s="23">
        <v>20</v>
      </c>
      <c r="G4" s="23">
        <f>F4*ABS(E4)</f>
        <v>16</v>
      </c>
      <c r="H4" s="23">
        <f>IF(E4&lt;0,-(SQRT(F4^2-G4^2)),SQRT(F4^2-G4^2))</f>
        <v>-12</v>
      </c>
      <c r="I4" s="21">
        <v>1</v>
      </c>
      <c r="J4" s="21">
        <f>F4*I4</f>
        <v>20</v>
      </c>
      <c r="K4" s="25">
        <f>G4*I4</f>
        <v>16</v>
      </c>
      <c r="L4" s="25">
        <f>H4*I4</f>
        <v>-12</v>
      </c>
      <c r="M4" s="23">
        <v>0</v>
      </c>
      <c r="N4" s="23">
        <f>$J4*(M4/100)</f>
        <v>0</v>
      </c>
      <c r="O4" s="23">
        <f>$K4*(M4/100)</f>
        <v>0</v>
      </c>
      <c r="P4" s="26">
        <f>$L4*(M4/100)</f>
        <v>0</v>
      </c>
      <c r="Q4" s="27">
        <v>100</v>
      </c>
      <c r="R4" s="27">
        <f>$J4*(Q4/100)</f>
        <v>20</v>
      </c>
      <c r="S4" s="27">
        <f>$K4*(Q4/100)</f>
        <v>16</v>
      </c>
      <c r="T4" s="28">
        <f>$L4*(Q4/100)</f>
        <v>-12</v>
      </c>
      <c r="V4" s="23">
        <v>100</v>
      </c>
      <c r="W4" s="23">
        <f>$J4*(V4/100)</f>
        <v>20</v>
      </c>
      <c r="X4" s="23">
        <f>$K4*(V4/100)</f>
        <v>16</v>
      </c>
      <c r="Y4" s="26">
        <f>$L4*(V4/100)</f>
        <v>-12</v>
      </c>
      <c r="AA4" s="27">
        <v>100</v>
      </c>
      <c r="AB4" s="27">
        <f>$J4*(AA4/100)</f>
        <v>20</v>
      </c>
      <c r="AC4" s="27">
        <f>$K4*(AA4/100)</f>
        <v>16</v>
      </c>
      <c r="AD4" s="28">
        <f>$L4*(AA4/100)</f>
        <v>-12</v>
      </c>
      <c r="AE4" s="28">
        <f>$L4*(AB4/100)</f>
        <v>-2.4000000000000004</v>
      </c>
      <c r="AF4" s="23">
        <v>100</v>
      </c>
      <c r="AG4" s="23">
        <f>$J4*(AF4/100)</f>
        <v>20</v>
      </c>
      <c r="AH4" s="23">
        <f>$K4*(AF4/100)</f>
        <v>16</v>
      </c>
      <c r="AI4" s="26">
        <f>$L4*(AF4/100)</f>
        <v>-12</v>
      </c>
      <c r="AJ4" s="27">
        <v>100</v>
      </c>
      <c r="AK4" s="27">
        <f>$J4*(AJ4/100)</f>
        <v>20</v>
      </c>
      <c r="AL4" s="27">
        <f>$K4*(AJ4/100)</f>
        <v>16</v>
      </c>
      <c r="AM4" s="28">
        <f>$L4*(AJ4/100)</f>
        <v>-12</v>
      </c>
    </row>
    <row r="5" spans="1:39" x14ac:dyDescent="0.2">
      <c r="A5" s="21">
        <v>2</v>
      </c>
      <c r="B5" s="22" t="s">
        <v>77</v>
      </c>
      <c r="C5" s="21">
        <v>24</v>
      </c>
      <c r="D5" s="22" t="s">
        <v>78</v>
      </c>
      <c r="E5" s="21">
        <v>-0.7</v>
      </c>
      <c r="F5" s="23">
        <v>50</v>
      </c>
      <c r="G5" s="23">
        <f t="shared" ref="G5:G10" si="0">F5*ABS(E5)</f>
        <v>35</v>
      </c>
      <c r="H5" s="23">
        <f t="shared" ref="H5:H10" si="1">IF(E5&lt;0,-(SQRT(F5^2-G5^2)),SQRT(F5^2-G5^2))</f>
        <v>-35.707142142714247</v>
      </c>
      <c r="I5" s="21">
        <v>1</v>
      </c>
      <c r="J5" s="21">
        <f t="shared" ref="J5:J10" si="2">F5*I5</f>
        <v>50</v>
      </c>
      <c r="K5" s="25">
        <f t="shared" ref="K5:K10" si="3">G5*I5</f>
        <v>35</v>
      </c>
      <c r="L5" s="25">
        <f t="shared" ref="L5:L10" si="4">H5*I5</f>
        <v>-35.707142142714247</v>
      </c>
      <c r="M5" s="23">
        <v>20</v>
      </c>
      <c r="N5" s="23">
        <f t="shared" ref="N5:N10" si="5">$J5*(M5/100)</f>
        <v>10</v>
      </c>
      <c r="O5" s="23">
        <f t="shared" ref="O5:O10" si="6">$K5*(M5/100)</f>
        <v>7</v>
      </c>
      <c r="P5" s="26">
        <f t="shared" ref="P5:P10" si="7">$L5*(M5/100)</f>
        <v>-7.1414284285428495</v>
      </c>
      <c r="Q5" s="27">
        <v>100</v>
      </c>
      <c r="R5" s="27">
        <f t="shared" ref="R5:R10" si="8">$J5*(Q5/100)</f>
        <v>50</v>
      </c>
      <c r="S5" s="27">
        <f t="shared" ref="S5:S10" si="9">$K5*(Q5/100)</f>
        <v>35</v>
      </c>
      <c r="T5" s="28">
        <f t="shared" ref="T5:T10" si="10">$L5*(Q5/100)</f>
        <v>-35.707142142714247</v>
      </c>
      <c r="V5" s="23">
        <v>100</v>
      </c>
      <c r="W5" s="23">
        <f t="shared" ref="W5:W10" si="11">$J5*(V5/100)</f>
        <v>50</v>
      </c>
      <c r="X5" s="23">
        <f t="shared" ref="X5:X10" si="12">$K5*(V5/100)</f>
        <v>35</v>
      </c>
      <c r="Y5" s="26">
        <f t="shared" ref="Y5:Y10" si="13">$L5*(V5/100)</f>
        <v>-35.707142142714247</v>
      </c>
      <c r="AA5" s="27">
        <v>100</v>
      </c>
      <c r="AB5" s="27">
        <f t="shared" ref="AB5:AB10" si="14">$J5*(AA5/100)</f>
        <v>50</v>
      </c>
      <c r="AC5" s="27">
        <f t="shared" ref="AC5:AC10" si="15">$K5*(AA5/100)</f>
        <v>35</v>
      </c>
      <c r="AD5" s="28">
        <f t="shared" ref="AD5:AE10" si="16">$L5*(AA5/100)</f>
        <v>-35.707142142714247</v>
      </c>
      <c r="AE5" s="28">
        <f t="shared" si="16"/>
        <v>-17.853571071357123</v>
      </c>
      <c r="AF5" s="23">
        <v>100</v>
      </c>
      <c r="AG5" s="23">
        <f t="shared" ref="AG5:AG10" si="17">$J5*(AF5/100)</f>
        <v>50</v>
      </c>
      <c r="AH5" s="23">
        <f t="shared" ref="AH5:AH10" si="18">$K5*(AF5/100)</f>
        <v>35</v>
      </c>
      <c r="AI5" s="26">
        <f t="shared" ref="AI5:AI10" si="19">$L5*(AF5/100)</f>
        <v>-35.707142142714247</v>
      </c>
      <c r="AJ5" s="27">
        <v>50</v>
      </c>
      <c r="AK5" s="27">
        <f t="shared" ref="AK5:AK10" si="20">$J5*(AJ5/100)</f>
        <v>25</v>
      </c>
      <c r="AL5" s="27">
        <f t="shared" ref="AL5:AL10" si="21">$K5*(AJ5/100)</f>
        <v>17.5</v>
      </c>
      <c r="AM5" s="28">
        <f t="shared" ref="AM5:AM10" si="22">$L5*(AJ5/100)</f>
        <v>-17.853571071357123</v>
      </c>
    </row>
    <row r="6" spans="1:39" x14ac:dyDescent="0.2">
      <c r="A6" s="21">
        <v>3</v>
      </c>
      <c r="B6" s="22" t="s">
        <v>90</v>
      </c>
      <c r="C6" s="21">
        <v>33</v>
      </c>
      <c r="D6" s="22" t="s">
        <v>91</v>
      </c>
      <c r="E6" s="21">
        <v>0.8</v>
      </c>
      <c r="F6" s="23">
        <v>10</v>
      </c>
      <c r="G6" s="23">
        <f t="shared" si="0"/>
        <v>8</v>
      </c>
      <c r="H6" s="23">
        <f t="shared" si="1"/>
        <v>6</v>
      </c>
      <c r="I6" s="21">
        <v>4</v>
      </c>
      <c r="J6" s="21">
        <f t="shared" si="2"/>
        <v>40</v>
      </c>
      <c r="K6" s="25">
        <f t="shared" si="3"/>
        <v>32</v>
      </c>
      <c r="L6" s="25">
        <f t="shared" si="4"/>
        <v>24</v>
      </c>
      <c r="M6" s="23">
        <v>100</v>
      </c>
      <c r="N6" s="23">
        <f t="shared" si="5"/>
        <v>40</v>
      </c>
      <c r="O6" s="23">
        <f t="shared" si="6"/>
        <v>32</v>
      </c>
      <c r="P6" s="26">
        <f t="shared" si="7"/>
        <v>24</v>
      </c>
      <c r="Q6" s="27">
        <v>10</v>
      </c>
      <c r="R6" s="27">
        <f t="shared" si="8"/>
        <v>4</v>
      </c>
      <c r="S6" s="27">
        <f t="shared" si="9"/>
        <v>3.2</v>
      </c>
      <c r="T6" s="28">
        <f t="shared" si="10"/>
        <v>2.4000000000000004</v>
      </c>
      <c r="V6" s="23">
        <v>100</v>
      </c>
      <c r="W6" s="23">
        <f t="shared" si="11"/>
        <v>40</v>
      </c>
      <c r="X6" s="23">
        <f t="shared" si="12"/>
        <v>32</v>
      </c>
      <c r="Y6" s="26">
        <f t="shared" si="13"/>
        <v>24</v>
      </c>
      <c r="AA6" s="27">
        <v>60</v>
      </c>
      <c r="AB6" s="27">
        <f t="shared" si="14"/>
        <v>24</v>
      </c>
      <c r="AC6" s="27">
        <f t="shared" si="15"/>
        <v>19.2</v>
      </c>
      <c r="AD6" s="28">
        <f t="shared" si="16"/>
        <v>14.399999999999999</v>
      </c>
      <c r="AE6" s="28">
        <f t="shared" si="16"/>
        <v>5.76</v>
      </c>
      <c r="AF6" s="23">
        <v>100</v>
      </c>
      <c r="AG6" s="23">
        <f t="shared" si="17"/>
        <v>40</v>
      </c>
      <c r="AH6" s="23">
        <f t="shared" si="18"/>
        <v>32</v>
      </c>
      <c r="AI6" s="26">
        <f t="shared" si="19"/>
        <v>24</v>
      </c>
      <c r="AJ6" s="27">
        <v>60</v>
      </c>
      <c r="AK6" s="27">
        <f t="shared" si="20"/>
        <v>24</v>
      </c>
      <c r="AL6" s="27">
        <f t="shared" si="21"/>
        <v>19.2</v>
      </c>
      <c r="AM6" s="28">
        <f t="shared" si="22"/>
        <v>14.399999999999999</v>
      </c>
    </row>
    <row r="7" spans="1:39" x14ac:dyDescent="0.2">
      <c r="A7" s="21">
        <v>4</v>
      </c>
      <c r="B7" s="22" t="s">
        <v>79</v>
      </c>
      <c r="C7" s="21">
        <v>23</v>
      </c>
      <c r="D7" s="22" t="s">
        <v>80</v>
      </c>
      <c r="E7" s="21">
        <v>-0.85</v>
      </c>
      <c r="F7" s="23">
        <v>25</v>
      </c>
      <c r="G7" s="23">
        <f t="shared" si="0"/>
        <v>21.25</v>
      </c>
      <c r="H7" s="23">
        <f t="shared" si="1"/>
        <v>-13.169567191065923</v>
      </c>
      <c r="I7" s="21">
        <v>2</v>
      </c>
      <c r="J7" s="21">
        <f t="shared" si="2"/>
        <v>50</v>
      </c>
      <c r="K7" s="25">
        <f t="shared" si="3"/>
        <v>42.5</v>
      </c>
      <c r="L7" s="25">
        <f t="shared" si="4"/>
        <v>-26.339134382131846</v>
      </c>
      <c r="M7" s="23">
        <v>0</v>
      </c>
      <c r="N7" s="23">
        <f t="shared" si="5"/>
        <v>0</v>
      </c>
      <c r="O7" s="23">
        <f t="shared" si="6"/>
        <v>0</v>
      </c>
      <c r="P7" s="26">
        <f t="shared" si="7"/>
        <v>0</v>
      </c>
      <c r="Q7" s="27">
        <v>10</v>
      </c>
      <c r="R7" s="27">
        <f t="shared" si="8"/>
        <v>5</v>
      </c>
      <c r="S7" s="27">
        <f t="shared" si="9"/>
        <v>4.25</v>
      </c>
      <c r="T7" s="28">
        <f t="shared" si="10"/>
        <v>-2.6339134382131846</v>
      </c>
      <c r="V7" s="23">
        <v>10</v>
      </c>
      <c r="W7" s="23">
        <f t="shared" si="11"/>
        <v>5</v>
      </c>
      <c r="X7" s="23">
        <f t="shared" si="12"/>
        <v>4.25</v>
      </c>
      <c r="Y7" s="26">
        <f t="shared" si="13"/>
        <v>-2.6339134382131846</v>
      </c>
      <c r="AA7" s="27">
        <v>10</v>
      </c>
      <c r="AB7" s="27">
        <f t="shared" si="14"/>
        <v>5</v>
      </c>
      <c r="AC7" s="27">
        <f t="shared" si="15"/>
        <v>4.25</v>
      </c>
      <c r="AD7" s="28">
        <f t="shared" si="16"/>
        <v>-2.6339134382131846</v>
      </c>
      <c r="AE7" s="28">
        <f t="shared" si="16"/>
        <v>-1.3169567191065923</v>
      </c>
      <c r="AF7" s="23">
        <v>10</v>
      </c>
      <c r="AG7" s="23">
        <f t="shared" si="17"/>
        <v>5</v>
      </c>
      <c r="AH7" s="23">
        <f t="shared" si="18"/>
        <v>4.25</v>
      </c>
      <c r="AI7" s="26">
        <f t="shared" si="19"/>
        <v>-2.6339134382131846</v>
      </c>
      <c r="AJ7" s="27">
        <v>10</v>
      </c>
      <c r="AK7" s="27">
        <f t="shared" si="20"/>
        <v>5</v>
      </c>
      <c r="AL7" s="27">
        <f t="shared" si="21"/>
        <v>4.25</v>
      </c>
      <c r="AM7" s="28">
        <f t="shared" si="22"/>
        <v>-2.6339134382131846</v>
      </c>
    </row>
    <row r="8" spans="1:39" x14ac:dyDescent="0.2">
      <c r="A8" s="21">
        <v>5</v>
      </c>
      <c r="B8" s="22" t="s">
        <v>81</v>
      </c>
      <c r="C8" s="21">
        <v>31</v>
      </c>
      <c r="D8" s="22" t="s">
        <v>82</v>
      </c>
      <c r="E8" s="21">
        <v>-0.87</v>
      </c>
      <c r="F8" s="23">
        <v>30</v>
      </c>
      <c r="G8" s="23">
        <f t="shared" si="0"/>
        <v>26.1</v>
      </c>
      <c r="H8" s="23">
        <f t="shared" si="1"/>
        <v>-14.791551642745258</v>
      </c>
      <c r="I8" s="21">
        <v>2</v>
      </c>
      <c r="J8" s="21">
        <f t="shared" si="2"/>
        <v>60</v>
      </c>
      <c r="K8" s="25">
        <f t="shared" si="3"/>
        <v>52.2</v>
      </c>
      <c r="L8" s="25">
        <f t="shared" si="4"/>
        <v>-29.583103285490516</v>
      </c>
      <c r="M8" s="23">
        <v>0</v>
      </c>
      <c r="N8" s="23">
        <f t="shared" si="5"/>
        <v>0</v>
      </c>
      <c r="O8" s="23">
        <f t="shared" si="6"/>
        <v>0</v>
      </c>
      <c r="P8" s="26">
        <f t="shared" si="7"/>
        <v>0</v>
      </c>
      <c r="Q8" s="27">
        <v>100</v>
      </c>
      <c r="R8" s="27">
        <f t="shared" si="8"/>
        <v>60</v>
      </c>
      <c r="S8" s="27">
        <f t="shared" si="9"/>
        <v>52.2</v>
      </c>
      <c r="T8" s="28">
        <f t="shared" si="10"/>
        <v>-29.583103285490516</v>
      </c>
      <c r="V8" s="23">
        <v>100</v>
      </c>
      <c r="W8" s="23">
        <f t="shared" si="11"/>
        <v>60</v>
      </c>
      <c r="X8" s="23">
        <f t="shared" si="12"/>
        <v>52.2</v>
      </c>
      <c r="Y8" s="26">
        <f t="shared" si="13"/>
        <v>-29.583103285490516</v>
      </c>
      <c r="AA8" s="27">
        <v>100</v>
      </c>
      <c r="AB8" s="27">
        <f t="shared" si="14"/>
        <v>60</v>
      </c>
      <c r="AC8" s="27">
        <f t="shared" si="15"/>
        <v>52.2</v>
      </c>
      <c r="AD8" s="28">
        <f t="shared" si="16"/>
        <v>-29.583103285490516</v>
      </c>
      <c r="AE8" s="28">
        <f t="shared" si="16"/>
        <v>-17.749861971294308</v>
      </c>
      <c r="AF8" s="23">
        <v>100</v>
      </c>
      <c r="AG8" s="23">
        <f t="shared" si="17"/>
        <v>60</v>
      </c>
      <c r="AH8" s="23">
        <f t="shared" si="18"/>
        <v>52.2</v>
      </c>
      <c r="AI8" s="26">
        <f t="shared" si="19"/>
        <v>-29.583103285490516</v>
      </c>
      <c r="AJ8" s="27">
        <v>100</v>
      </c>
      <c r="AK8" s="27">
        <f t="shared" si="20"/>
        <v>60</v>
      </c>
      <c r="AL8" s="27">
        <f t="shared" si="21"/>
        <v>52.2</v>
      </c>
      <c r="AM8" s="28">
        <f t="shared" si="22"/>
        <v>-29.583103285490516</v>
      </c>
    </row>
    <row r="9" spans="1:39" x14ac:dyDescent="0.2">
      <c r="A9" s="21">
        <v>6</v>
      </c>
      <c r="B9" s="22" t="s">
        <v>83</v>
      </c>
      <c r="C9" s="21">
        <v>25</v>
      </c>
      <c r="D9" s="22" t="s">
        <v>84</v>
      </c>
      <c r="E9" s="21">
        <v>-0.8</v>
      </c>
      <c r="F9" s="23">
        <v>50</v>
      </c>
      <c r="G9" s="23">
        <f t="shared" si="0"/>
        <v>40</v>
      </c>
      <c r="H9" s="23">
        <f t="shared" si="1"/>
        <v>-30</v>
      </c>
      <c r="I9" s="21">
        <v>3</v>
      </c>
      <c r="J9" s="21">
        <f t="shared" si="2"/>
        <v>150</v>
      </c>
      <c r="K9" s="25">
        <f t="shared" si="3"/>
        <v>120</v>
      </c>
      <c r="L9" s="25">
        <f t="shared" si="4"/>
        <v>-90</v>
      </c>
      <c r="M9" s="23">
        <v>100</v>
      </c>
      <c r="N9" s="23">
        <f t="shared" si="5"/>
        <v>150</v>
      </c>
      <c r="O9" s="23">
        <f t="shared" si="6"/>
        <v>120</v>
      </c>
      <c r="P9" s="26">
        <f t="shared" si="7"/>
        <v>-90</v>
      </c>
      <c r="Q9" s="27">
        <v>0</v>
      </c>
      <c r="R9" s="27">
        <f t="shared" si="8"/>
        <v>0</v>
      </c>
      <c r="S9" s="27">
        <f t="shared" si="9"/>
        <v>0</v>
      </c>
      <c r="T9" s="28">
        <f t="shared" si="10"/>
        <v>0</v>
      </c>
      <c r="V9" s="23">
        <v>0</v>
      </c>
      <c r="W9" s="23">
        <f t="shared" si="11"/>
        <v>0</v>
      </c>
      <c r="X9" s="23">
        <f t="shared" si="12"/>
        <v>0</v>
      </c>
      <c r="Y9" s="26">
        <f t="shared" si="13"/>
        <v>0</v>
      </c>
      <c r="AA9" s="27">
        <v>0</v>
      </c>
      <c r="AB9" s="27">
        <f t="shared" si="14"/>
        <v>0</v>
      </c>
      <c r="AC9" s="27">
        <f t="shared" si="15"/>
        <v>0</v>
      </c>
      <c r="AD9" s="28">
        <f t="shared" si="16"/>
        <v>0</v>
      </c>
      <c r="AE9" s="28">
        <f t="shared" si="16"/>
        <v>0</v>
      </c>
      <c r="AF9" s="23">
        <v>0</v>
      </c>
      <c r="AG9" s="23">
        <f t="shared" si="17"/>
        <v>0</v>
      </c>
      <c r="AH9" s="23">
        <f t="shared" si="18"/>
        <v>0</v>
      </c>
      <c r="AI9" s="26">
        <f t="shared" si="19"/>
        <v>0</v>
      </c>
      <c r="AJ9" s="27">
        <v>0</v>
      </c>
      <c r="AK9" s="27">
        <f t="shared" si="20"/>
        <v>0</v>
      </c>
      <c r="AL9" s="27">
        <f t="shared" si="21"/>
        <v>0</v>
      </c>
      <c r="AM9" s="28">
        <f t="shared" si="22"/>
        <v>0</v>
      </c>
    </row>
    <row r="10" spans="1:39" x14ac:dyDescent="0.2">
      <c r="A10" s="21">
        <v>7</v>
      </c>
      <c r="B10" s="22" t="s">
        <v>85</v>
      </c>
      <c r="C10" s="21">
        <v>27</v>
      </c>
      <c r="D10" s="22" t="s">
        <v>86</v>
      </c>
      <c r="E10" s="21">
        <v>-0.8</v>
      </c>
      <c r="F10" s="23">
        <v>10</v>
      </c>
      <c r="G10" s="23">
        <f t="shared" si="0"/>
        <v>8</v>
      </c>
      <c r="H10" s="23">
        <f t="shared" si="1"/>
        <v>-6</v>
      </c>
      <c r="I10" s="21">
        <v>2</v>
      </c>
      <c r="J10" s="21">
        <f t="shared" si="2"/>
        <v>20</v>
      </c>
      <c r="K10" s="25">
        <f t="shared" si="3"/>
        <v>16</v>
      </c>
      <c r="L10" s="25">
        <f t="shared" si="4"/>
        <v>-12</v>
      </c>
      <c r="M10" s="23">
        <v>0</v>
      </c>
      <c r="N10" s="23">
        <f t="shared" si="5"/>
        <v>0</v>
      </c>
      <c r="O10" s="23">
        <f t="shared" si="6"/>
        <v>0</v>
      </c>
      <c r="P10" s="26">
        <f t="shared" si="7"/>
        <v>0</v>
      </c>
      <c r="Q10" s="27">
        <v>0</v>
      </c>
      <c r="R10" s="27">
        <f t="shared" si="8"/>
        <v>0</v>
      </c>
      <c r="S10" s="27">
        <f t="shared" si="9"/>
        <v>0</v>
      </c>
      <c r="T10" s="28">
        <f t="shared" si="10"/>
        <v>0</v>
      </c>
      <c r="V10" s="23">
        <v>100</v>
      </c>
      <c r="W10" s="23">
        <f t="shared" si="11"/>
        <v>20</v>
      </c>
      <c r="X10" s="23">
        <f t="shared" si="12"/>
        <v>16</v>
      </c>
      <c r="Y10" s="26">
        <f t="shared" si="13"/>
        <v>-12</v>
      </c>
      <c r="AA10" s="27">
        <v>100</v>
      </c>
      <c r="AB10" s="27">
        <f t="shared" si="14"/>
        <v>20</v>
      </c>
      <c r="AC10" s="27">
        <f t="shared" si="15"/>
        <v>16</v>
      </c>
      <c r="AD10" s="28">
        <f t="shared" si="16"/>
        <v>-12</v>
      </c>
      <c r="AE10" s="28">
        <f t="shared" si="16"/>
        <v>-2.4000000000000004</v>
      </c>
      <c r="AF10" s="23">
        <v>0</v>
      </c>
      <c r="AG10" s="23">
        <f t="shared" si="17"/>
        <v>0</v>
      </c>
      <c r="AH10" s="23">
        <f t="shared" si="18"/>
        <v>0</v>
      </c>
      <c r="AI10" s="26">
        <f t="shared" si="19"/>
        <v>0</v>
      </c>
      <c r="AJ10" s="27">
        <v>100</v>
      </c>
      <c r="AK10" s="27">
        <f t="shared" si="20"/>
        <v>20</v>
      </c>
      <c r="AL10" s="27">
        <f t="shared" si="21"/>
        <v>16</v>
      </c>
      <c r="AM10" s="28">
        <f t="shared" si="22"/>
        <v>-12</v>
      </c>
    </row>
    <row r="11" spans="1:39" x14ac:dyDescent="0.2">
      <c r="A11" s="21"/>
      <c r="B11" s="21"/>
      <c r="C11" s="21"/>
      <c r="D11" s="21"/>
      <c r="E11" s="21"/>
      <c r="F11" s="23"/>
      <c r="G11" s="23"/>
      <c r="H11" s="23"/>
      <c r="I11" s="21"/>
      <c r="J11" s="21"/>
      <c r="K11" s="21"/>
      <c r="L11" s="24"/>
      <c r="M11" s="70" t="s">
        <v>87</v>
      </c>
      <c r="N11" s="71"/>
      <c r="O11" s="23">
        <f>SUM(O4:O10)</f>
        <v>159</v>
      </c>
      <c r="P11" s="26">
        <f>SUM(P4:P10)</f>
        <v>-73.141428428542852</v>
      </c>
      <c r="Q11" s="74" t="s">
        <v>87</v>
      </c>
      <c r="R11" s="75"/>
      <c r="S11" s="27">
        <f>SUM(S4:S10)</f>
        <v>110.65</v>
      </c>
      <c r="T11" s="28">
        <f>SUM(T4:T10)</f>
        <v>-77.524158866417949</v>
      </c>
      <c r="V11" s="70" t="s">
        <v>87</v>
      </c>
      <c r="W11" s="71"/>
      <c r="X11" s="23">
        <f>SUM(X4:X10)</f>
        <v>155.44999999999999</v>
      </c>
      <c r="Y11" s="26">
        <f>SUM(Y4:Y10)</f>
        <v>-67.92415886641794</v>
      </c>
      <c r="AA11" s="74" t="s">
        <v>87</v>
      </c>
      <c r="AB11" s="75"/>
      <c r="AC11" s="27">
        <f>SUM(AC4:AC10)</f>
        <v>142.65</v>
      </c>
      <c r="AD11" s="28">
        <f>SUM(AD4:AD10)</f>
        <v>-77.524158866417949</v>
      </c>
      <c r="AE11" s="29">
        <f>SUM(AE4:AE10)</f>
        <v>-35.960389761758023</v>
      </c>
      <c r="AF11" s="70" t="s">
        <v>87</v>
      </c>
      <c r="AG11" s="71"/>
      <c r="AH11" s="23">
        <f>SUM(AH4:AH10)</f>
        <v>139.44999999999999</v>
      </c>
      <c r="AI11" s="26">
        <f>SUM(AI4:AI10)</f>
        <v>-55.924158866417947</v>
      </c>
      <c r="AJ11" s="74" t="s">
        <v>87</v>
      </c>
      <c r="AK11" s="75"/>
      <c r="AL11" s="27">
        <f>SUM(AL4:AL10)</f>
        <v>125.15</v>
      </c>
      <c r="AM11" s="28">
        <f>SUM(AM4:AM10)</f>
        <v>-59.670587795060825</v>
      </c>
    </row>
    <row r="12" spans="1:39" x14ac:dyDescent="0.2">
      <c r="A12" s="21"/>
      <c r="B12" s="21"/>
      <c r="C12" s="21"/>
      <c r="D12" s="21"/>
      <c r="E12" s="21"/>
      <c r="F12" s="23"/>
      <c r="G12" s="23"/>
      <c r="H12" s="23"/>
      <c r="I12" s="21"/>
      <c r="J12" s="21"/>
      <c r="K12" s="21"/>
      <c r="L12" s="24"/>
      <c r="M12" s="70" t="s">
        <v>88</v>
      </c>
      <c r="N12" s="71"/>
      <c r="O12" s="86">
        <f>SQRT(O11^2+P11^2)</f>
        <v>175.01619511510259</v>
      </c>
      <c r="P12" s="87"/>
      <c r="Q12" s="74" t="s">
        <v>88</v>
      </c>
      <c r="R12" s="75"/>
      <c r="S12" s="76">
        <f>SQRT(S11^2+T11^2)</f>
        <v>135.10520977351544</v>
      </c>
      <c r="T12" s="77"/>
      <c r="V12" s="70" t="s">
        <v>88</v>
      </c>
      <c r="W12" s="71"/>
      <c r="X12" s="86">
        <f>SQRT(X11^2+Y11^2)</f>
        <v>169.64195783387547</v>
      </c>
      <c r="Y12" s="87"/>
      <c r="AA12" s="74" t="s">
        <v>88</v>
      </c>
      <c r="AB12" s="75"/>
      <c r="AC12" s="76">
        <f>SQRT(AC11^2+AD11^2)</f>
        <v>162.35460482519616</v>
      </c>
      <c r="AD12" s="93"/>
      <c r="AE12" s="77"/>
      <c r="AF12" s="70" t="s">
        <v>88</v>
      </c>
      <c r="AG12" s="71"/>
      <c r="AH12" s="86">
        <f>SQRT(AH11^2+AI11^2)</f>
        <v>150.24584534993423</v>
      </c>
      <c r="AI12" s="87"/>
      <c r="AJ12" s="74" t="s">
        <v>88</v>
      </c>
      <c r="AK12" s="75"/>
      <c r="AL12" s="76">
        <f>SQRT(AL11^2+AM11^2)</f>
        <v>138.64740007590501</v>
      </c>
      <c r="AM12" s="77"/>
    </row>
    <row r="13" spans="1:39" x14ac:dyDescent="0.2">
      <c r="A13" s="21"/>
      <c r="B13" s="21"/>
      <c r="C13" s="21"/>
      <c r="D13" s="21"/>
      <c r="E13" s="21"/>
      <c r="F13" s="23"/>
      <c r="G13" s="23"/>
      <c r="H13" s="23"/>
      <c r="I13" s="21"/>
      <c r="J13" s="21"/>
      <c r="K13" s="21"/>
      <c r="L13" s="24"/>
      <c r="M13" s="50"/>
      <c r="N13" s="51" t="s">
        <v>71</v>
      </c>
      <c r="O13" s="82">
        <f>O11/O12</f>
        <v>0.90848735395847657</v>
      </c>
      <c r="P13" s="83"/>
      <c r="Q13" s="52"/>
      <c r="R13" s="53" t="s">
        <v>71</v>
      </c>
      <c r="S13" s="78">
        <f>S11/S12</f>
        <v>0.81899136373415138</v>
      </c>
      <c r="T13" s="79"/>
      <c r="V13" s="50"/>
      <c r="W13" s="51" t="s">
        <v>71</v>
      </c>
      <c r="X13" s="82">
        <f>X11/X12</f>
        <v>0.91634169980652325</v>
      </c>
      <c r="Y13" s="83"/>
      <c r="AA13" s="52"/>
      <c r="AB13" s="53" t="s">
        <v>71</v>
      </c>
      <c r="AC13" s="78">
        <f>AC11/AC12</f>
        <v>0.87863230090448197</v>
      </c>
      <c r="AD13" s="89"/>
      <c r="AE13" s="79"/>
      <c r="AF13" s="50"/>
      <c r="AG13" s="51" t="s">
        <v>71</v>
      </c>
      <c r="AH13" s="82">
        <f>AH11/AH12</f>
        <v>0.92814546502241124</v>
      </c>
      <c r="AI13" s="83"/>
      <c r="AJ13" s="52"/>
      <c r="AK13" s="53" t="s">
        <v>71</v>
      </c>
      <c r="AL13" s="78">
        <f>AL11/AL12</f>
        <v>0.90264945416563447</v>
      </c>
      <c r="AM13" s="79"/>
    </row>
    <row r="14" spans="1:39" x14ac:dyDescent="0.2">
      <c r="A14" s="21"/>
      <c r="B14" s="21"/>
      <c r="C14" s="21"/>
      <c r="D14" s="21"/>
      <c r="E14" s="21"/>
      <c r="F14" s="23"/>
      <c r="G14" s="23"/>
      <c r="H14" s="23"/>
      <c r="I14" s="21"/>
      <c r="J14" s="21"/>
      <c r="K14" s="21"/>
      <c r="L14" s="24"/>
      <c r="M14" s="70" t="s">
        <v>89</v>
      </c>
      <c r="N14" s="71"/>
      <c r="O14" s="72">
        <f>O12/$C$2*100</f>
        <v>58.338731705034199</v>
      </c>
      <c r="P14" s="73"/>
      <c r="Q14" s="74" t="s">
        <v>89</v>
      </c>
      <c r="R14" s="75"/>
      <c r="S14" s="80">
        <f>S12/$C$2*100</f>
        <v>45.035069924505144</v>
      </c>
      <c r="T14" s="81"/>
      <c r="V14" s="70" t="s">
        <v>89</v>
      </c>
      <c r="W14" s="71"/>
      <c r="X14" s="72">
        <f>X12/$C$2*100</f>
        <v>56.547319277958486</v>
      </c>
      <c r="Y14" s="73"/>
      <c r="AA14" s="74" t="s">
        <v>89</v>
      </c>
      <c r="AB14" s="75"/>
      <c r="AC14" s="80">
        <f>AC12/$C$2*100</f>
        <v>54.118201608398721</v>
      </c>
      <c r="AD14" s="88"/>
      <c r="AE14" s="81"/>
      <c r="AF14" s="70" t="s">
        <v>89</v>
      </c>
      <c r="AG14" s="71"/>
      <c r="AH14" s="72">
        <f>AH12/$C$2*100</f>
        <v>50.081948449978078</v>
      </c>
      <c r="AI14" s="73"/>
      <c r="AJ14" s="74" t="s">
        <v>89</v>
      </c>
      <c r="AK14" s="75"/>
      <c r="AL14" s="80">
        <f>AL12/$C$2*100</f>
        <v>46.215800025301675</v>
      </c>
      <c r="AM14" s="81"/>
    </row>
    <row r="17" spans="1:20" x14ac:dyDescent="0.2">
      <c r="A17" s="38" t="s">
        <v>139</v>
      </c>
      <c r="B17" s="38"/>
      <c r="C17" s="38"/>
      <c r="D17" s="38"/>
      <c r="E17" s="38"/>
      <c r="F17" s="38"/>
      <c r="G17" s="38"/>
      <c r="H17" s="38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</sheetData>
  <mergeCells count="44">
    <mergeCell ref="J2:L2"/>
    <mergeCell ref="F2:H2"/>
    <mergeCell ref="AC12:AE12"/>
    <mergeCell ref="N2:P2"/>
    <mergeCell ref="R2:T2"/>
    <mergeCell ref="Q11:R11"/>
    <mergeCell ref="Q12:R12"/>
    <mergeCell ref="S12:T12"/>
    <mergeCell ref="O13:P13"/>
    <mergeCell ref="M14:N14"/>
    <mergeCell ref="O14:P14"/>
    <mergeCell ref="M11:N11"/>
    <mergeCell ref="M12:N12"/>
    <mergeCell ref="O12:P12"/>
    <mergeCell ref="S13:T13"/>
    <mergeCell ref="Q14:R14"/>
    <mergeCell ref="S14:T14"/>
    <mergeCell ref="W2:Y2"/>
    <mergeCell ref="AB2:AE2"/>
    <mergeCell ref="AC14:AE14"/>
    <mergeCell ref="AC13:AE13"/>
    <mergeCell ref="V11:W11"/>
    <mergeCell ref="V12:W12"/>
    <mergeCell ref="X12:Y12"/>
    <mergeCell ref="X13:Y13"/>
    <mergeCell ref="V14:W14"/>
    <mergeCell ref="X14:Y14"/>
    <mergeCell ref="AA11:AB11"/>
    <mergeCell ref="AA12:AB12"/>
    <mergeCell ref="AA14:AB14"/>
    <mergeCell ref="AG2:AI2"/>
    <mergeCell ref="AK2:AM2"/>
    <mergeCell ref="AF11:AG11"/>
    <mergeCell ref="AF12:AG12"/>
    <mergeCell ref="AH12:AI12"/>
    <mergeCell ref="AF14:AG14"/>
    <mergeCell ref="AH14:AI14"/>
    <mergeCell ref="AJ11:AK11"/>
    <mergeCell ref="AJ12:AK12"/>
    <mergeCell ref="AL12:AM12"/>
    <mergeCell ref="AL13:AM13"/>
    <mergeCell ref="AJ14:AK14"/>
    <mergeCell ref="AL14:AM14"/>
    <mergeCell ref="AH13:AI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29"/>
  <sheetViews>
    <sheetView tabSelected="1" zoomScale="160" zoomScaleNormal="160" workbookViewId="0">
      <selection activeCell="A28" sqref="A28"/>
    </sheetView>
  </sheetViews>
  <sheetFormatPr defaultRowHeight="12.75" x14ac:dyDescent="0.2"/>
  <cols>
    <col min="1" max="1" width="15.33203125" customWidth="1"/>
    <col min="2" max="2" width="27.1640625" customWidth="1"/>
    <col min="3" max="3" width="7.1640625" customWidth="1"/>
    <col min="4" max="4" width="9" customWidth="1"/>
    <col min="5" max="5" width="19.6640625" customWidth="1"/>
    <col min="6" max="6" width="19.6640625" style="1" hidden="1" customWidth="1"/>
    <col min="7" max="7" width="11.5" customWidth="1"/>
    <col min="8" max="8" width="26" customWidth="1"/>
    <col min="9" max="9" width="12.1640625" bestFit="1" customWidth="1"/>
    <col min="13" max="14" width="9.33203125" hidden="1" customWidth="1"/>
  </cols>
  <sheetData>
    <row r="2" spans="1:14" x14ac:dyDescent="0.2">
      <c r="A2" s="1"/>
      <c r="B2" s="41" t="s">
        <v>102</v>
      </c>
      <c r="C2" s="41" t="s">
        <v>104</v>
      </c>
      <c r="D2" s="42" t="s">
        <v>105</v>
      </c>
      <c r="M2" t="s">
        <v>116</v>
      </c>
      <c r="N2" t="s">
        <v>118</v>
      </c>
    </row>
    <row r="3" spans="1:14" s="1" customFormat="1" x14ac:dyDescent="0.2">
      <c r="A3" s="30" t="s">
        <v>130</v>
      </c>
      <c r="B3" s="4">
        <v>10</v>
      </c>
      <c r="C3" s="41" t="s">
        <v>131</v>
      </c>
      <c r="E3" s="4">
        <v>75</v>
      </c>
      <c r="F3" s="4"/>
      <c r="G3" s="30" t="s">
        <v>135</v>
      </c>
      <c r="M3" t="s">
        <v>43</v>
      </c>
      <c r="N3" t="s">
        <v>119</v>
      </c>
    </row>
    <row r="4" spans="1:14" s="1" customFormat="1" x14ac:dyDescent="0.2">
      <c r="A4" s="30" t="s">
        <v>133</v>
      </c>
      <c r="B4" s="4">
        <v>30</v>
      </c>
      <c r="C4" s="41" t="s">
        <v>131</v>
      </c>
    </row>
    <row r="5" spans="1:14" x14ac:dyDescent="0.2">
      <c r="A5" s="30" t="s">
        <v>103</v>
      </c>
      <c r="B5" s="4">
        <v>15</v>
      </c>
      <c r="C5" s="4">
        <v>1</v>
      </c>
      <c r="D5" s="4">
        <f>B5*C5*(E3/100)</f>
        <v>11.25</v>
      </c>
      <c r="E5" s="4">
        <f>D5*60</f>
        <v>675</v>
      </c>
      <c r="F5" s="4"/>
      <c r="G5" s="30" t="s">
        <v>129</v>
      </c>
    </row>
    <row r="6" spans="1:14" s="1" customFormat="1" x14ac:dyDescent="0.2">
      <c r="A6" s="32" t="s">
        <v>115</v>
      </c>
      <c r="B6" s="4" t="s">
        <v>119</v>
      </c>
      <c r="C6" s="4"/>
    </row>
    <row r="7" spans="1:14" s="1" customFormat="1" x14ac:dyDescent="0.2">
      <c r="A7" s="30" t="s">
        <v>132</v>
      </c>
      <c r="B7" s="4">
        <v>40</v>
      </c>
      <c r="C7" s="41" t="s">
        <v>113</v>
      </c>
      <c r="E7" s="4">
        <f>B7*60</f>
        <v>2400</v>
      </c>
      <c r="F7" s="4"/>
      <c r="G7" s="30" t="s">
        <v>129</v>
      </c>
      <c r="H7" s="4">
        <f>E5/E7*60</f>
        <v>16.875</v>
      </c>
      <c r="I7" s="32" t="s">
        <v>128</v>
      </c>
    </row>
    <row r="8" spans="1:14" x14ac:dyDescent="0.2">
      <c r="I8" s="1"/>
    </row>
    <row r="9" spans="1:14" x14ac:dyDescent="0.2">
      <c r="A9" s="30" t="s">
        <v>106</v>
      </c>
      <c r="B9" s="30" t="s">
        <v>134</v>
      </c>
      <c r="C9" s="30" t="s">
        <v>113</v>
      </c>
      <c r="D9" s="37" t="s">
        <v>138</v>
      </c>
      <c r="E9" s="30" t="s">
        <v>117</v>
      </c>
      <c r="F9" s="32" t="s">
        <v>136</v>
      </c>
      <c r="G9" s="30" t="s">
        <v>129</v>
      </c>
      <c r="H9" s="1"/>
      <c r="I9" s="1"/>
      <c r="J9" s="1"/>
    </row>
    <row r="10" spans="1:14" s="1" customFormat="1" x14ac:dyDescent="0.2">
      <c r="B10" s="31" t="str">
        <f>IF(B6="Yes","2 engine starts - ignitors","")</f>
        <v/>
      </c>
      <c r="C10" s="4">
        <v>5</v>
      </c>
      <c r="D10" s="4" t="s">
        <v>116</v>
      </c>
      <c r="E10" s="4">
        <v>5</v>
      </c>
      <c r="F10" s="4">
        <f>IF(D10="Cont",$B$4,E10)</f>
        <v>5</v>
      </c>
      <c r="G10" s="4">
        <f>C10*F10</f>
        <v>25</v>
      </c>
    </row>
    <row r="11" spans="1:14" s="1" customFormat="1" x14ac:dyDescent="0.2">
      <c r="B11" s="31" t="str">
        <f>IF(B6="Yes","lower flaps and undercarriage","")</f>
        <v/>
      </c>
      <c r="C11" s="4">
        <v>6</v>
      </c>
      <c r="D11" s="36" t="s">
        <v>116</v>
      </c>
      <c r="E11" s="4">
        <v>3</v>
      </c>
      <c r="F11" s="4">
        <f>E11</f>
        <v>3</v>
      </c>
      <c r="G11" s="4">
        <f>C11*F11</f>
        <v>18</v>
      </c>
    </row>
    <row r="12" spans="1:14" x14ac:dyDescent="0.2">
      <c r="A12">
        <v>1</v>
      </c>
      <c r="B12" t="s">
        <v>109</v>
      </c>
      <c r="C12" s="4">
        <v>1.5</v>
      </c>
      <c r="D12" s="4" t="s">
        <v>43</v>
      </c>
      <c r="E12" s="4">
        <v>0</v>
      </c>
      <c r="F12" s="4">
        <f>IF(D12="Cont",$B$4,E12)</f>
        <v>30</v>
      </c>
      <c r="G12" s="4">
        <f>C12*F12</f>
        <v>45</v>
      </c>
      <c r="H12" s="1"/>
      <c r="J12" s="1"/>
    </row>
    <row r="13" spans="1:14" x14ac:dyDescent="0.2">
      <c r="A13">
        <v>2</v>
      </c>
      <c r="B13" t="s">
        <v>107</v>
      </c>
      <c r="C13" s="4">
        <v>1</v>
      </c>
      <c r="D13" s="4" t="s">
        <v>43</v>
      </c>
      <c r="E13" s="4">
        <v>0</v>
      </c>
      <c r="F13" s="4">
        <f t="shared" ref="F13:F24" si="0">IF(D13="Cont",$B$4,E13)</f>
        <v>30</v>
      </c>
      <c r="G13" s="4">
        <f t="shared" ref="G13:G22" si="1">C13*F13</f>
        <v>30</v>
      </c>
      <c r="H13" s="1"/>
      <c r="J13" s="1"/>
    </row>
    <row r="14" spans="1:14" x14ac:dyDescent="0.2">
      <c r="A14">
        <v>3</v>
      </c>
      <c r="B14" t="s">
        <v>108</v>
      </c>
      <c r="C14" s="4">
        <v>2</v>
      </c>
      <c r="D14" s="4" t="s">
        <v>43</v>
      </c>
      <c r="E14" s="4">
        <v>0</v>
      </c>
      <c r="F14" s="4">
        <f t="shared" si="0"/>
        <v>30</v>
      </c>
      <c r="G14" s="4">
        <f t="shared" si="1"/>
        <v>60</v>
      </c>
      <c r="H14" s="1"/>
      <c r="J14" s="1"/>
    </row>
    <row r="15" spans="1:14" x14ac:dyDescent="0.2">
      <c r="A15">
        <v>4</v>
      </c>
      <c r="B15" t="s">
        <v>125</v>
      </c>
      <c r="C15" s="4">
        <v>10</v>
      </c>
      <c r="D15" s="4" t="s">
        <v>116</v>
      </c>
      <c r="E15" s="4">
        <v>5</v>
      </c>
      <c r="F15" s="4">
        <f t="shared" si="0"/>
        <v>5</v>
      </c>
      <c r="G15" s="4">
        <f t="shared" si="1"/>
        <v>50</v>
      </c>
      <c r="H15" s="1"/>
      <c r="J15" s="1"/>
    </row>
    <row r="16" spans="1:14" x14ac:dyDescent="0.2">
      <c r="A16">
        <v>5</v>
      </c>
      <c r="B16" t="s">
        <v>110</v>
      </c>
      <c r="C16" s="4">
        <v>10</v>
      </c>
      <c r="D16" s="4" t="s">
        <v>43</v>
      </c>
      <c r="E16" s="4">
        <v>0</v>
      </c>
      <c r="F16" s="4">
        <f t="shared" si="0"/>
        <v>30</v>
      </c>
      <c r="G16" s="4">
        <f t="shared" si="1"/>
        <v>300</v>
      </c>
      <c r="H16" s="1"/>
      <c r="J16" s="1"/>
    </row>
    <row r="17" spans="1:20" x14ac:dyDescent="0.2">
      <c r="A17">
        <v>6</v>
      </c>
      <c r="B17" t="s">
        <v>111</v>
      </c>
      <c r="C17" s="4">
        <v>0.2</v>
      </c>
      <c r="D17" s="4" t="s">
        <v>43</v>
      </c>
      <c r="E17" s="4">
        <v>0</v>
      </c>
      <c r="F17" s="4">
        <f t="shared" si="0"/>
        <v>30</v>
      </c>
      <c r="G17" s="4">
        <f t="shared" si="1"/>
        <v>6</v>
      </c>
      <c r="H17" s="1"/>
      <c r="J17" s="1"/>
    </row>
    <row r="18" spans="1:20" x14ac:dyDescent="0.2">
      <c r="A18" t="s">
        <v>121</v>
      </c>
      <c r="B18" t="s">
        <v>124</v>
      </c>
      <c r="C18" s="4">
        <v>0.5</v>
      </c>
      <c r="D18" s="4" t="s">
        <v>43</v>
      </c>
      <c r="E18" s="4">
        <v>0</v>
      </c>
      <c r="F18" s="4">
        <f t="shared" si="0"/>
        <v>30</v>
      </c>
      <c r="G18" s="4">
        <f t="shared" si="1"/>
        <v>15</v>
      </c>
      <c r="H18" s="30" t="s">
        <v>114</v>
      </c>
      <c r="I18" s="43">
        <f>G24/B4</f>
        <v>35.533333333333331</v>
      </c>
      <c r="J18" s="32" t="s">
        <v>113</v>
      </c>
    </row>
    <row r="19" spans="1:20" s="1" customFormat="1" x14ac:dyDescent="0.2">
      <c r="A19" s="1" t="s">
        <v>122</v>
      </c>
      <c r="B19" s="1" t="s">
        <v>123</v>
      </c>
      <c r="C19" s="4">
        <v>3</v>
      </c>
      <c r="D19" s="4" t="s">
        <v>116</v>
      </c>
      <c r="E19" s="4">
        <v>10</v>
      </c>
      <c r="F19" s="4">
        <f t="shared" si="0"/>
        <v>10</v>
      </c>
      <c r="G19" s="4">
        <f t="shared" si="1"/>
        <v>30</v>
      </c>
      <c r="H19" s="32" t="s">
        <v>140</v>
      </c>
      <c r="I19" s="4">
        <f>E5-G23</f>
        <v>9</v>
      </c>
      <c r="J19" s="30" t="s">
        <v>128</v>
      </c>
    </row>
    <row r="20" spans="1:20" x14ac:dyDescent="0.2">
      <c r="A20">
        <v>8</v>
      </c>
      <c r="B20" t="s">
        <v>112</v>
      </c>
      <c r="C20" s="4">
        <v>2</v>
      </c>
      <c r="D20" s="4" t="s">
        <v>43</v>
      </c>
      <c r="E20" s="4">
        <v>0</v>
      </c>
      <c r="F20" s="4">
        <f t="shared" si="0"/>
        <v>30</v>
      </c>
      <c r="G20" s="4">
        <f t="shared" si="1"/>
        <v>60</v>
      </c>
      <c r="H20" s="1"/>
      <c r="I20" s="4"/>
      <c r="J20" s="1"/>
    </row>
    <row r="21" spans="1:20" x14ac:dyDescent="0.2">
      <c r="A21">
        <v>9</v>
      </c>
      <c r="B21" t="s">
        <v>126</v>
      </c>
      <c r="C21" s="4">
        <v>2</v>
      </c>
      <c r="D21" s="4" t="s">
        <v>43</v>
      </c>
      <c r="E21" s="4">
        <v>0</v>
      </c>
      <c r="F21" s="4">
        <f t="shared" si="0"/>
        <v>30</v>
      </c>
      <c r="G21" s="4">
        <f t="shared" si="1"/>
        <v>60</v>
      </c>
      <c r="H21" s="1"/>
      <c r="I21" s="1"/>
      <c r="J21" s="1"/>
    </row>
    <row r="22" spans="1:20" x14ac:dyDescent="0.2">
      <c r="A22">
        <v>10</v>
      </c>
      <c r="B22" t="s">
        <v>127</v>
      </c>
      <c r="C22" s="4">
        <v>1</v>
      </c>
      <c r="D22" s="4" t="s">
        <v>116</v>
      </c>
      <c r="E22" s="4">
        <v>10</v>
      </c>
      <c r="F22" s="4">
        <f t="shared" si="0"/>
        <v>10</v>
      </c>
      <c r="G22" s="4">
        <f t="shared" si="1"/>
        <v>10</v>
      </c>
      <c r="H22" s="30" t="s">
        <v>120</v>
      </c>
      <c r="I22" s="43">
        <f>100-(G23/E5*100)</f>
        <v>1.3333333333333286</v>
      </c>
      <c r="J22" s="1"/>
    </row>
    <row r="23" spans="1:20" x14ac:dyDescent="0.2">
      <c r="B23" s="30" t="s">
        <v>105</v>
      </c>
      <c r="C23" s="35">
        <f>IF($B$6="yes",SUM(C10:C22),SUM(C12:C22))</f>
        <v>33.200000000000003</v>
      </c>
      <c r="D23" s="35"/>
      <c r="E23" s="35"/>
      <c r="F23" s="35">
        <f t="shared" si="0"/>
        <v>0</v>
      </c>
      <c r="G23" s="35">
        <f>IF($B$6="yes",SUM(G10:G22),SUM(G12:G22))</f>
        <v>666</v>
      </c>
      <c r="H23" s="32" t="s">
        <v>137</v>
      </c>
      <c r="I23" s="33" t="str">
        <f>IF(I19&lt;1,"Inadequate","Adequate")</f>
        <v>Adequate</v>
      </c>
      <c r="J23" s="1"/>
    </row>
    <row r="24" spans="1:20" x14ac:dyDescent="0.2">
      <c r="A24" s="1"/>
      <c r="B24" s="32" t="s">
        <v>141</v>
      </c>
      <c r="D24" s="1"/>
      <c r="E24" s="1"/>
      <c r="F24" s="1">
        <f t="shared" si="0"/>
        <v>0</v>
      </c>
      <c r="G24" s="35">
        <f>G23+(B7*B3)</f>
        <v>1066</v>
      </c>
    </row>
    <row r="25" spans="1:20" s="1" customFormat="1" x14ac:dyDescent="0.2">
      <c r="B25" s="38"/>
      <c r="C25" s="38"/>
      <c r="D25" s="38"/>
      <c r="E25" s="38"/>
      <c r="F25" s="38"/>
      <c r="G25" s="38"/>
      <c r="H25" s="38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x14ac:dyDescent="0.2">
      <c r="A26" s="1"/>
      <c r="B26" s="1"/>
      <c r="C26" s="1"/>
      <c r="D26" s="1"/>
      <c r="E26" s="1"/>
      <c r="G26" s="1"/>
    </row>
    <row r="27" spans="1:20" x14ac:dyDescent="0.2">
      <c r="A27" s="38" t="s">
        <v>139</v>
      </c>
      <c r="B27" s="1"/>
      <c r="C27" s="1"/>
      <c r="D27" s="1"/>
      <c r="E27" s="1"/>
      <c r="G27" s="1"/>
    </row>
    <row r="28" spans="1:20" x14ac:dyDescent="0.2">
      <c r="A28" s="38" t="s">
        <v>142</v>
      </c>
      <c r="B28" s="1"/>
      <c r="C28" s="1"/>
      <c r="D28" s="1"/>
      <c r="E28" s="1"/>
      <c r="G28" s="1"/>
    </row>
    <row r="29" spans="1:20" x14ac:dyDescent="0.2">
      <c r="A29" s="1"/>
      <c r="B29" s="1"/>
      <c r="C29" s="1"/>
      <c r="D29" s="1"/>
      <c r="E29" s="1"/>
      <c r="G29" s="1"/>
    </row>
  </sheetData>
  <conditionalFormatting sqref="C10:G10">
    <cfRule type="expression" dxfId="2" priority="4">
      <formula>$B$6="No"</formula>
    </cfRule>
  </conditionalFormatting>
  <conditionalFormatting sqref="C11:G11">
    <cfRule type="expression" dxfId="1" priority="3">
      <formula>$B$6="No"</formula>
    </cfRule>
  </conditionalFormatting>
  <conditionalFormatting sqref="I23">
    <cfRule type="cellIs" dxfId="0" priority="1" operator="equal">
      <formula>"Adequate"</formula>
    </cfRule>
  </conditionalFormatting>
  <dataValidations count="2">
    <dataValidation type="list" allowBlank="1" showInputMessage="1" showErrorMessage="1" sqref="B6">
      <formula1>YESNO</formula1>
    </dataValidation>
    <dataValidation type="list" allowBlank="1" showInputMessage="1" showErrorMessage="1" sqref="D10 D12:D24">
      <formula1>MinCont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4294967293" r:id="rId1"/>
  <headerFooter>
    <oddHeader>&amp;CANNEX A - SAMPLE ELA Spreadsheet for DC, AC and battery capacity analysis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DC Analysis</vt:lpstr>
      <vt:lpstr>AC Analysis</vt:lpstr>
      <vt:lpstr>Battery emergency capacity</vt:lpstr>
      <vt:lpstr>MinCont</vt:lpstr>
      <vt:lpstr>MinorCont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 562 - Civil Aircraft Airworthiness Information and Procedures</dc:title>
  <dc:creator>UK CAA, SRG, Airworthiness Strategy and Policy</dc:creator>
  <cp:lastModifiedBy>Spence, Keegan</cp:lastModifiedBy>
  <cp:lastPrinted>2016-05-13T05:43:41Z</cp:lastPrinted>
  <dcterms:created xsi:type="dcterms:W3CDTF">2016-01-05T16:01:12Z</dcterms:created>
  <dcterms:modified xsi:type="dcterms:W3CDTF">2016-05-13T05:43:49Z</dcterms:modified>
</cp:coreProperties>
</file>