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rosenberg_a\Documents\Offline Records (CA)\Final as published - AC 133-01 v2.0\"/>
    </mc:Choice>
  </mc:AlternateContent>
  <xr:revisionPtr revIDLastSave="0" documentId="13_ncr:1_{22ADC0CD-1A2A-4AFD-85C7-1974FA23CC2D}" xr6:coauthVersionLast="46" xr6:coauthVersionMax="46" xr10:uidLastSave="{00000000-0000-0000-0000-000000000000}"/>
  <bookViews>
    <workbookView xWindow="-120" yWindow="-120" windowWidth="29040" windowHeight="15840" tabRatio="500" xr2:uid="{00000000-000D-0000-FFFF-FFFF00000000}"/>
  </bookViews>
  <sheets>
    <sheet name="VTOL(1) PC1 &amp; PC2" sheetId="22" r:id="rId1"/>
    <sheet name="Vertical PC2WE &lt;CAT A" sheetId="24" r:id="rId2"/>
    <sheet name="Vertical PC2WE &gt;CAT A" sheetId="23" r:id="rId3"/>
    <sheet name="Clear Heliport PC1" sheetId="25" r:id="rId4"/>
    <sheet name="Sheet3" sheetId="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I52" i="25" l="1"/>
  <c r="H52" i="25"/>
  <c r="G51" i="25"/>
  <c r="G50" i="25" l="1"/>
  <c r="G40" i="23" l="1"/>
  <c r="G40" i="25"/>
  <c r="K51" i="25"/>
  <c r="H50" i="25"/>
  <c r="H51" i="25" s="1"/>
  <c r="D57" i="25"/>
  <c r="D58" i="25" s="1"/>
  <c r="G52" i="25"/>
  <c r="H53" i="25" s="1"/>
  <c r="C50" i="25"/>
  <c r="C36" i="25" s="1"/>
  <c r="D63" i="25"/>
  <c r="C58" i="25"/>
  <c r="K41" i="25"/>
  <c r="H41" i="25"/>
  <c r="K39" i="25"/>
  <c r="J52" i="25" s="1"/>
  <c r="H39" i="25"/>
  <c r="D38" i="25"/>
  <c r="I39" i="25" l="1"/>
  <c r="J39" i="25" s="1"/>
  <c r="F52" i="25"/>
  <c r="I53" i="25" s="1"/>
  <c r="J53" i="25"/>
  <c r="J54" i="25" s="1"/>
  <c r="I41" i="25" s="1"/>
  <c r="J41" i="25" s="1"/>
  <c r="K52" i="25" l="1"/>
  <c r="K53" i="25" s="1"/>
  <c r="K54" i="25" s="1"/>
  <c r="G53" i="25" l="1"/>
  <c r="F53" i="25" s="1"/>
  <c r="H54" i="25"/>
  <c r="I54" i="25" s="1"/>
  <c r="D63" i="23" l="1"/>
  <c r="D64" i="23" s="1"/>
  <c r="C63" i="23"/>
  <c r="D62" i="23"/>
  <c r="C62" i="23"/>
  <c r="C50" i="23"/>
  <c r="C52" i="23" s="1"/>
  <c r="D58" i="23"/>
  <c r="C58" i="23"/>
  <c r="D57" i="23"/>
  <c r="C51" i="23"/>
  <c r="D62" i="24"/>
  <c r="D63" i="24"/>
  <c r="D64" i="24" s="1"/>
  <c r="C63" i="24"/>
  <c r="C62" i="24"/>
  <c r="C50" i="24"/>
  <c r="D58" i="24"/>
  <c r="C58" i="24"/>
  <c r="D57" i="24"/>
  <c r="C51" i="24"/>
  <c r="D67" i="22"/>
  <c r="D68" i="22"/>
  <c r="D69" i="22" s="1"/>
  <c r="C68" i="22"/>
  <c r="C67" i="22"/>
  <c r="C50" i="22"/>
  <c r="C52" i="22" s="1"/>
  <c r="D63" i="22"/>
  <c r="C63" i="22"/>
  <c r="D62" i="22"/>
  <c r="C51" i="22"/>
  <c r="C35" i="23" l="1"/>
  <c r="C52" i="24"/>
  <c r="C35" i="24" s="1"/>
  <c r="C35" i="22"/>
  <c r="F57" i="22" l="1"/>
  <c r="F58" i="22" s="1"/>
  <c r="H51" i="23"/>
  <c r="I51" i="23" l="1"/>
  <c r="I52" i="23" s="1"/>
  <c r="F51" i="23"/>
  <c r="F52" i="23" s="1"/>
  <c r="I53" i="23" s="1"/>
  <c r="I57" i="22"/>
  <c r="I58" i="22" s="1"/>
  <c r="I51" i="24"/>
  <c r="I52" i="24" s="1"/>
  <c r="F51" i="24"/>
  <c r="F52" i="24" s="1"/>
  <c r="K41" i="23" l="1"/>
  <c r="K39" i="23"/>
  <c r="K41" i="24"/>
  <c r="K39" i="24"/>
  <c r="G52" i="23" l="1"/>
  <c r="H52" i="23" s="1"/>
  <c r="H53" i="23" s="1"/>
  <c r="G52" i="24"/>
  <c r="H52" i="24" s="1"/>
  <c r="H53" i="24" s="1"/>
  <c r="I53" i="24"/>
  <c r="H51" i="24"/>
  <c r="G58" i="22"/>
  <c r="I59" i="22"/>
  <c r="G40" i="24" l="1"/>
  <c r="G40" i="22"/>
  <c r="K41" i="22"/>
  <c r="K39" i="22"/>
  <c r="J52" i="24" l="1"/>
  <c r="H41" i="24"/>
  <c r="H39" i="24"/>
  <c r="D37" i="24"/>
  <c r="J52" i="23"/>
  <c r="J58" i="22"/>
  <c r="K58" i="22" s="1"/>
  <c r="G37" i="22" s="1"/>
  <c r="K53" i="23"/>
  <c r="H41" i="23"/>
  <c r="H39" i="23"/>
  <c r="D37" i="23"/>
  <c r="H58" i="22"/>
  <c r="H41" i="22"/>
  <c r="H39" i="22"/>
  <c r="D37" i="22"/>
  <c r="J51" i="23" l="1"/>
  <c r="K52" i="23" s="1"/>
  <c r="J54" i="23"/>
  <c r="J55" i="23" s="1"/>
  <c r="J56" i="23" s="1"/>
  <c r="H59" i="22"/>
  <c r="J53" i="23"/>
  <c r="J53" i="24"/>
  <c r="K52" i="24"/>
  <c r="K54" i="24" s="1"/>
  <c r="K60" i="22"/>
  <c r="H57" i="22"/>
  <c r="J59" i="22"/>
  <c r="J54" i="24" l="1"/>
  <c r="J55" i="24"/>
  <c r="J56" i="24" s="1"/>
  <c r="J57" i="24" s="1"/>
  <c r="J60" i="22"/>
  <c r="J61" i="22"/>
  <c r="J62" i="22" s="1"/>
  <c r="J63" i="22" s="1"/>
  <c r="I41" i="22" l="1"/>
  <c r="J41" i="22" s="1"/>
  <c r="I39" i="22"/>
  <c r="J39" i="22" s="1"/>
  <c r="I39" i="24"/>
  <c r="J39" i="24" s="1"/>
  <c r="I41" i="24"/>
  <c r="J41" i="24" s="1"/>
  <c r="K59" i="22" l="1"/>
  <c r="K61" i="22"/>
  <c r="K62" i="22" s="1"/>
  <c r="K63" i="22" s="1"/>
  <c r="G59" i="22" s="1"/>
  <c r="K53" i="24"/>
  <c r="K55" i="24"/>
  <c r="K56" i="24" s="1"/>
  <c r="K57" i="24" s="1"/>
  <c r="G53" i="24" s="1"/>
  <c r="F59" i="22" l="1"/>
  <c r="H60" i="22"/>
  <c r="I60" i="22" s="1"/>
  <c r="H54" i="24"/>
  <c r="I54" i="24" s="1"/>
  <c r="F53" i="24"/>
  <c r="I41" i="23" l="1"/>
  <c r="J41" i="23" s="1"/>
  <c r="I39" i="23"/>
  <c r="J39" i="23" s="1"/>
  <c r="K54" i="23" s="1"/>
  <c r="K55" i="23" s="1"/>
  <c r="K56" i="23" l="1"/>
  <c r="H54" i="23" s="1"/>
  <c r="I54" i="23" s="1"/>
  <c r="G53" i="23" l="1"/>
  <c r="F53" i="23" s="1"/>
</calcChain>
</file>

<file path=xl/sharedStrings.xml><?xml version="1.0" encoding="utf-8"?>
<sst xmlns="http://schemas.openxmlformats.org/spreadsheetml/2006/main" count="184" uniqueCount="59">
  <si>
    <t>Acceleration Distance</t>
    <phoneticPr fontId="2" type="noConversion"/>
  </si>
  <si>
    <t>Minimum Flight Path Distances</t>
    <phoneticPr fontId="2" type="noConversion"/>
  </si>
  <si>
    <t>Backup Obstacle Free Dist</t>
    <phoneticPr fontId="2" type="noConversion"/>
  </si>
  <si>
    <t>Flight Path Height</t>
    <phoneticPr fontId="2" type="noConversion"/>
  </si>
  <si>
    <t>Flight Path Dist</t>
    <phoneticPr fontId="2" type="noConversion"/>
  </si>
  <si>
    <t>Degrees</t>
    <phoneticPr fontId="2" type="noConversion"/>
  </si>
  <si>
    <t>Rate of Climb (fpm)</t>
  </si>
  <si>
    <t>Minimum Flight Path Heights</t>
    <phoneticPr fontId="2" type="noConversion"/>
  </si>
  <si>
    <t>Aircraft:</t>
    <phoneticPr fontId="2" type="noConversion"/>
  </si>
  <si>
    <t>Back-up distance</t>
    <phoneticPr fontId="2" type="noConversion"/>
  </si>
  <si>
    <t>Distance to min dip</t>
    <phoneticPr fontId="2" type="noConversion"/>
  </si>
  <si>
    <t>Distance to 35ft Vtoss climb</t>
    <phoneticPr fontId="2" type="noConversion"/>
  </si>
  <si>
    <t>Environment:</t>
    <phoneticPr fontId="2" type="noConversion"/>
  </si>
  <si>
    <t>Nil Wind Dist (m):</t>
    <phoneticPr fontId="2" type="noConversion"/>
  </si>
  <si>
    <t>Wind Corrected Distance (m):</t>
    <phoneticPr fontId="2" type="noConversion"/>
  </si>
  <si>
    <t>Helipad(25x25m):</t>
  </si>
  <si>
    <t>Elevation of Virtual Clearway (ft):</t>
  </si>
  <si>
    <t>Pressure Altitude (ft):</t>
  </si>
  <si>
    <t>Temperature (deg C):</t>
  </si>
  <si>
    <t>VTOL CAT A WAT Limit (kg):</t>
  </si>
  <si>
    <t>Take-off Weight (kg)</t>
  </si>
  <si>
    <t>Height Loss from TDP (ft):</t>
  </si>
  <si>
    <t>Take-Off Distance Required (m):</t>
  </si>
  <si>
    <t>Vy (KIAS):</t>
  </si>
  <si>
    <t>Vtoss (KIAS):</t>
  </si>
  <si>
    <t>OLS Distances</t>
  </si>
  <si>
    <t>OLS Heights</t>
  </si>
  <si>
    <t>Segment One</t>
  </si>
  <si>
    <t>Acceleration</t>
  </si>
  <si>
    <t>Segment Two</t>
  </si>
  <si>
    <t>Factored Headwind Component (kts):</t>
  </si>
  <si>
    <t>Planned TDP (ft):</t>
  </si>
  <si>
    <t>Backup Obstacle Free Height</t>
  </si>
  <si>
    <t>Segment 1 Climb 0 to 200ft (%)</t>
  </si>
  <si>
    <t>Segment 2 Climb 200-1000ft(%)</t>
  </si>
  <si>
    <t>Planned RP (Max 150ft):</t>
  </si>
  <si>
    <t>Planned Rotate Point (Max 180ft):</t>
  </si>
  <si>
    <t>Heliport Elevation (ft):</t>
  </si>
  <si>
    <t>Length of Virtual Clearway (m):</t>
  </si>
  <si>
    <t>Obstacle-free OLS Gradient (%):</t>
  </si>
  <si>
    <t>Distance of OLS obstacle from safety area (m)</t>
  </si>
  <si>
    <t>Height of OLS obstacle above heliport (ft)</t>
  </si>
  <si>
    <t>Height of clearway obstacle above heliport (ft)</t>
  </si>
  <si>
    <t>OLS Obstacle Height (ft)</t>
  </si>
  <si>
    <t>OLS Obstacle Distance (m)</t>
  </si>
  <si>
    <t>Clearway Obstacle Height (ft)</t>
  </si>
  <si>
    <t>Clearway Obstacle Distance (m)</t>
  </si>
  <si>
    <t>Establishing Height of Virtual Clearway:</t>
  </si>
  <si>
    <t>Lowest elevation of basic clearway (ft):</t>
  </si>
  <si>
    <t>Penetration of obstacle in basic OLS (ft):</t>
  </si>
  <si>
    <t>Penetration of obstacle in basic clearway (ft):</t>
  </si>
  <si>
    <t>Clear Heliport CAT A WAT Limit (kg):</t>
  </si>
  <si>
    <t>RTODA (ASDA)</t>
  </si>
  <si>
    <t>Clear Heliport:</t>
  </si>
  <si>
    <t>Distance</t>
  </si>
  <si>
    <t>Elevation of OLS Origin (ft):</t>
  </si>
  <si>
    <t>RTODAR (ASDA) (ft):</t>
  </si>
  <si>
    <t>TODAR (m):</t>
  </si>
  <si>
    <t>Distance of OLS obstacle from end of TODAR (m)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</si>
</sst>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2"/>
      <name val="Verdana"/>
    </font>
    <font>
      <b/>
      <sz val="12"/>
      <name val="Verdana"/>
      <family val="2"/>
    </font>
    <font>
      <sz val="8"/>
      <name val="Verdana"/>
      <family val="2"/>
    </font>
    <font>
      <sz val="12"/>
      <name val="Verdana"/>
      <family val="2"/>
    </font>
    <font>
      <sz val="12"/>
      <color theme="1"/>
      <name val="Verdana"/>
      <family val="2"/>
    </font>
    <font>
      <sz val="12"/>
      <color rgb="FFFF0000"/>
      <name val="Verdana"/>
      <family val="2"/>
    </font>
    <font>
      <b/>
      <sz val="12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" fontId="0" fillId="0" borderId="0" xfId="0" applyNumberFormat="1"/>
    <xf numFmtId="0" fontId="3" fillId="0" borderId="0" xfId="0" applyFont="1"/>
    <xf numFmtId="0" fontId="3" fillId="3" borderId="1" xfId="0" applyFont="1" applyFill="1" applyBorder="1" applyAlignment="1" applyProtection="1">
      <alignment horizontal="center"/>
      <protection locked="0"/>
    </xf>
    <xf numFmtId="164" fontId="3" fillId="3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</xf>
    <xf numFmtId="0" fontId="4" fillId="3" borderId="1" xfId="0" applyFont="1" applyFill="1" applyBorder="1" applyAlignment="1" applyProtection="1">
      <alignment horizontal="center"/>
      <protection locked="0"/>
    </xf>
    <xf numFmtId="164" fontId="4" fillId="3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0" fillId="0" borderId="0" xfId="0" applyProtection="1"/>
    <xf numFmtId="0" fontId="6" fillId="0" borderId="0" xfId="0" applyFont="1" applyProtection="1"/>
    <xf numFmtId="0" fontId="4" fillId="0" borderId="0" xfId="0" applyFont="1" applyProtection="1"/>
    <xf numFmtId="0" fontId="1" fillId="0" borderId="0" xfId="0" applyFont="1" applyProtection="1"/>
    <xf numFmtId="0" fontId="4" fillId="0" borderId="1" xfId="0" applyFont="1" applyBorder="1" applyProtection="1"/>
    <xf numFmtId="0" fontId="3" fillId="0" borderId="1" xfId="0" applyFont="1" applyBorder="1" applyProtection="1"/>
    <xf numFmtId="0" fontId="3" fillId="0" borderId="1" xfId="0" applyFont="1" applyBorder="1" applyAlignment="1" applyProtection="1">
      <alignment horizontal="right"/>
    </xf>
    <xf numFmtId="0" fontId="0" fillId="0" borderId="1" xfId="0" applyBorder="1" applyAlignment="1" applyProtection="1">
      <alignment horizontal="center"/>
    </xf>
    <xf numFmtId="1" fontId="4" fillId="0" borderId="1" xfId="0" applyNumberFormat="1" applyFont="1" applyBorder="1" applyAlignment="1" applyProtection="1">
      <alignment horizontal="center"/>
    </xf>
    <xf numFmtId="0" fontId="3" fillId="0" borderId="0" xfId="0" applyFont="1" applyProtection="1"/>
    <xf numFmtId="0" fontId="3" fillId="0" borderId="1" xfId="0" applyFont="1" applyBorder="1" applyAlignment="1" applyProtection="1">
      <alignment horizontal="center"/>
    </xf>
    <xf numFmtId="2" fontId="3" fillId="0" borderId="1" xfId="0" applyNumberFormat="1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3" xfId="0" applyBorder="1" applyAlignment="1" applyProtection="1">
      <alignment horizontal="center" wrapText="1"/>
    </xf>
    <xf numFmtId="0" fontId="0" fillId="0" borderId="1" xfId="0" applyBorder="1" applyAlignment="1" applyProtection="1">
      <alignment horizontal="center" wrapText="1"/>
    </xf>
    <xf numFmtId="0" fontId="0" fillId="0" borderId="1" xfId="0" applyFill="1" applyBorder="1" applyAlignment="1" applyProtection="1">
      <alignment horizontal="center" wrapText="1"/>
    </xf>
    <xf numFmtId="0" fontId="4" fillId="0" borderId="1" xfId="0" applyFont="1" applyBorder="1" applyAlignment="1" applyProtection="1">
      <alignment wrapText="1"/>
    </xf>
    <xf numFmtId="2" fontId="0" fillId="0" borderId="1" xfId="0" applyNumberFormat="1" applyBorder="1" applyAlignment="1" applyProtection="1">
      <alignment horizontal="center"/>
    </xf>
    <xf numFmtId="1" fontId="0" fillId="0" borderId="3" xfId="0" applyNumberFormat="1" applyBorder="1" applyAlignment="1" applyProtection="1">
      <alignment horizontal="center"/>
    </xf>
    <xf numFmtId="1" fontId="0" fillId="0" borderId="1" xfId="0" applyNumberFormat="1" applyFill="1" applyBorder="1" applyAlignment="1" applyProtection="1">
      <alignment horizontal="center"/>
    </xf>
    <xf numFmtId="1" fontId="0" fillId="0" borderId="1" xfId="0" applyNumberFormat="1" applyBorder="1" applyAlignment="1" applyProtection="1">
      <alignment horizontal="center"/>
    </xf>
    <xf numFmtId="0" fontId="0" fillId="0" borderId="1" xfId="0" applyBorder="1" applyProtection="1"/>
    <xf numFmtId="0" fontId="4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 wrapText="1"/>
    </xf>
    <xf numFmtId="0" fontId="0" fillId="0" borderId="0" xfId="0" applyAlignment="1" applyProtection="1">
      <alignment horizontal="center" wrapText="1"/>
    </xf>
    <xf numFmtId="0" fontId="4" fillId="0" borderId="0" xfId="0" applyFont="1" applyAlignment="1" applyProtection="1">
      <alignment horizontal="center" wrapText="1"/>
    </xf>
    <xf numFmtId="1" fontId="4" fillId="0" borderId="0" xfId="0" applyNumberFormat="1" applyFont="1" applyAlignment="1" applyProtection="1">
      <alignment horizontal="center"/>
    </xf>
    <xf numFmtId="1" fontId="0" fillId="0" borderId="0" xfId="0" applyNumberForma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1" fontId="5" fillId="0" borderId="0" xfId="0" applyNumberFormat="1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1" fontId="0" fillId="0" borderId="0" xfId="0" applyNumberFormat="1" applyProtection="1"/>
    <xf numFmtId="1" fontId="3" fillId="0" borderId="0" xfId="0" applyNumberFormat="1" applyFont="1" applyAlignment="1" applyProtection="1">
      <alignment horizontal="center"/>
    </xf>
    <xf numFmtId="0" fontId="1" fillId="0" borderId="4" xfId="0" applyFont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left" wrapText="1"/>
    </xf>
    <xf numFmtId="1" fontId="3" fillId="0" borderId="1" xfId="0" applyNumberFormat="1" applyFont="1" applyBorder="1" applyAlignment="1" applyProtection="1">
      <alignment horizontal="center"/>
    </xf>
    <xf numFmtId="0" fontId="3" fillId="0" borderId="1" xfId="0" applyFont="1" applyBorder="1" applyAlignment="1" applyProtection="1">
      <alignment wrapText="1"/>
    </xf>
    <xf numFmtId="0" fontId="3" fillId="0" borderId="1" xfId="0" applyFont="1" applyBorder="1" applyAlignment="1" applyProtection="1">
      <alignment horizontal="left"/>
    </xf>
    <xf numFmtId="0" fontId="3" fillId="0" borderId="0" xfId="0" applyFont="1" applyFill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1" fontId="0" fillId="0" borderId="2" xfId="0" applyNumberForma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AU"/>
            </a:pPr>
            <a:r>
              <a:rPr lang="en-US" u="sng"/>
              <a:t>EC135 P2 VTOL(1) PC1 &amp; PC2 Take-Off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Backup Obstacle Free Zone</c:v>
          </c:tx>
          <c:spPr>
            <a:ln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'VTOL(1) PC1 &amp; PC2'!$D$56:$D$58</c:f>
              <c:numCache>
                <c:formatCode>General</c:formatCode>
                <c:ptCount val="3"/>
                <c:pt idx="0">
                  <c:v>-16</c:v>
                </c:pt>
                <c:pt idx="1">
                  <c:v>-80</c:v>
                </c:pt>
                <c:pt idx="2">
                  <c:v>-135</c:v>
                </c:pt>
              </c:numCache>
            </c:numRef>
          </c:xVal>
          <c:yVal>
            <c:numRef>
              <c:f>'VTOL(1) PC1 &amp; PC2'!$C$56:$C$58</c:f>
              <c:numCache>
                <c:formatCode>General</c:formatCode>
                <c:ptCount val="3"/>
                <c:pt idx="0">
                  <c:v>0</c:v>
                </c:pt>
                <c:pt idx="1">
                  <c:v>30</c:v>
                </c:pt>
                <c:pt idx="2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BCD-2548-88B8-1EE6069B0130}"/>
            </c:ext>
          </c:extLst>
        </c:ser>
        <c:ser>
          <c:idx val="2"/>
          <c:order val="1"/>
          <c:tx>
            <c:v>OEI Take-Off Path</c:v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dPt>
            <c:idx val="1"/>
            <c:bubble3D val="0"/>
            <c:spPr>
              <a:ln>
                <a:solidFill>
                  <a:srgbClr val="00B05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76E-6749-A035-7C768781A41A}"/>
              </c:ext>
            </c:extLst>
          </c:dPt>
          <c:dPt>
            <c:idx val="2"/>
            <c:bubble3D val="0"/>
            <c:spPr>
              <a:ln>
                <a:solidFill>
                  <a:srgbClr val="00B05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A76E-6749-A035-7C768781A41A}"/>
              </c:ext>
            </c:extLst>
          </c:dPt>
          <c:xVal>
            <c:numRef>
              <c:f>'VTOL(1) PC1 &amp; PC2'!$K$56:$K$63</c:f>
              <c:numCache>
                <c:formatCode>General</c:formatCode>
                <c:ptCount val="8"/>
                <c:pt idx="0">
                  <c:v>0</c:v>
                </c:pt>
                <c:pt idx="1">
                  <c:v>-60</c:v>
                </c:pt>
                <c:pt idx="2" formatCode="0">
                  <c:v>-80</c:v>
                </c:pt>
                <c:pt idx="3" formatCode="0">
                  <c:v>79.661538461538456</c:v>
                </c:pt>
                <c:pt idx="4" formatCode="0">
                  <c:v>150</c:v>
                </c:pt>
                <c:pt idx="5" formatCode="0">
                  <c:v>2548.9479384615388</c:v>
                </c:pt>
                <c:pt idx="6" formatCode="0">
                  <c:v>2898.9479384615388</c:v>
                </c:pt>
                <c:pt idx="7" formatCode="0">
                  <c:v>4253.6146051282049</c:v>
                </c:pt>
              </c:numCache>
            </c:numRef>
          </c:xVal>
          <c:yVal>
            <c:numRef>
              <c:f>'VTOL(1) PC1 &amp; PC2'!$J$56:$J$63</c:f>
              <c:numCache>
                <c:formatCode>General</c:formatCode>
                <c:ptCount val="8"/>
                <c:pt idx="0">
                  <c:v>0</c:v>
                </c:pt>
                <c:pt idx="1">
                  <c:v>120</c:v>
                </c:pt>
                <c:pt idx="2">
                  <c:v>160</c:v>
                </c:pt>
                <c:pt idx="3">
                  <c:v>75</c:v>
                </c:pt>
                <c:pt idx="4">
                  <c:v>90</c:v>
                </c:pt>
                <c:pt idx="5" formatCode="0">
                  <c:v>601.5866666666667</c:v>
                </c:pt>
                <c:pt idx="6" formatCode="0">
                  <c:v>601.5866666666667</c:v>
                </c:pt>
                <c:pt idx="7" formatCode="0">
                  <c:v>801.5866666666667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BCD-2548-88B8-1EE6069B0130}"/>
            </c:ext>
          </c:extLst>
        </c:ser>
        <c:ser>
          <c:idx val="3"/>
          <c:order val="2"/>
          <c:tx>
            <c:v>OLS Gradient</c:v>
          </c:tx>
          <c:spPr>
            <a:ln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'VTOL(1) PC1 &amp; PC2'!$G$56:$G$59</c:f>
              <c:numCache>
                <c:formatCode>0</c:formatCode>
                <c:ptCount val="4"/>
                <c:pt idx="0" formatCode="General">
                  <c:v>13</c:v>
                </c:pt>
                <c:pt idx="1">
                  <c:v>13</c:v>
                </c:pt>
                <c:pt idx="2">
                  <c:v>313</c:v>
                </c:pt>
                <c:pt idx="3">
                  <c:v>4253.6146051282049</c:v>
                </c:pt>
              </c:numCache>
            </c:numRef>
          </c:xVal>
          <c:yVal>
            <c:numRef>
              <c:f>'VTOL(1) PC1 &amp; PC2'!$F$56:$F$59</c:f>
              <c:numCache>
                <c:formatCode>0</c:formatCode>
                <c:ptCount val="4"/>
                <c:pt idx="0" formatCode="General">
                  <c:v>0</c:v>
                </c:pt>
                <c:pt idx="1">
                  <c:v>44</c:v>
                </c:pt>
                <c:pt idx="2">
                  <c:v>44</c:v>
                </c:pt>
                <c:pt idx="3">
                  <c:v>625.78365233191994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BCD-2548-88B8-1EE6069B0130}"/>
            </c:ext>
          </c:extLst>
        </c:ser>
        <c:ser>
          <c:idx val="4"/>
          <c:order val="3"/>
          <c:tx>
            <c:v>Minimum Flight Path</c:v>
          </c:tx>
          <c:spPr>
            <a:ln>
              <a:solidFill>
                <a:srgbClr val="FF0000"/>
              </a:solidFill>
              <a:prstDash val="sysDot"/>
            </a:ln>
          </c:spPr>
          <c:marker>
            <c:symbol val="none"/>
          </c:marker>
          <c:xVal>
            <c:numRef>
              <c:f>'VTOL(1) PC1 &amp; PC2'!$H$56:$H$60</c:f>
              <c:numCache>
                <c:formatCode>0</c:formatCode>
                <c:ptCount val="5"/>
                <c:pt idx="0" formatCode="General">
                  <c:v>13</c:v>
                </c:pt>
                <c:pt idx="1">
                  <c:v>13</c:v>
                </c:pt>
                <c:pt idx="2">
                  <c:v>313</c:v>
                </c:pt>
                <c:pt idx="3">
                  <c:v>313</c:v>
                </c:pt>
                <c:pt idx="4">
                  <c:v>4253.6146051282049</c:v>
                </c:pt>
              </c:numCache>
            </c:numRef>
          </c:xVal>
          <c:yVal>
            <c:numRef>
              <c:f>'VTOL(1) PC1 &amp; PC2'!$I$56:$I$60</c:f>
              <c:numCache>
                <c:formatCode>0</c:formatCode>
                <c:ptCount val="5"/>
                <c:pt idx="0" formatCode="General">
                  <c:v>0</c:v>
                </c:pt>
                <c:pt idx="1">
                  <c:v>65</c:v>
                </c:pt>
                <c:pt idx="2">
                  <c:v>65</c:v>
                </c:pt>
                <c:pt idx="3">
                  <c:v>79</c:v>
                </c:pt>
                <c:pt idx="4">
                  <c:v>660.78365233191994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BCD-2548-88B8-1EE6069B0130}"/>
            </c:ext>
          </c:extLst>
        </c:ser>
        <c:ser>
          <c:idx val="1"/>
          <c:order val="4"/>
          <c:tx>
            <c:v>OLS Obstacle</c:v>
          </c:tx>
          <c:spPr>
            <a:ln w="127000" cap="flat"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'VTOL(1) PC1 &amp; PC2'!$D$62:$D$63</c:f>
              <c:numCache>
                <c:formatCode>General</c:formatCode>
                <c:ptCount val="2"/>
                <c:pt idx="0">
                  <c:v>700</c:v>
                </c:pt>
                <c:pt idx="1">
                  <c:v>700</c:v>
                </c:pt>
              </c:numCache>
            </c:numRef>
          </c:xVal>
          <c:yVal>
            <c:numRef>
              <c:f>'VTOL(1) PC1 &amp; PC2'!$C$62:$C$63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79B-C34A-9E30-5C4FC97D261A}"/>
            </c:ext>
          </c:extLst>
        </c:ser>
        <c:ser>
          <c:idx val="5"/>
          <c:order val="5"/>
          <c:tx>
            <c:v>Clearway Obstacle</c:v>
          </c:tx>
          <c:spPr>
            <a:ln w="38100">
              <a:solidFill>
                <a:srgbClr val="FFC000"/>
              </a:solidFill>
              <a:prstDash val="sysDash"/>
            </a:ln>
          </c:spPr>
          <c:marker>
            <c:symbol val="none"/>
          </c:marker>
          <c:xVal>
            <c:numRef>
              <c:f>'VTOL(1) PC1 &amp; PC2'!$D$67:$D$69</c:f>
              <c:numCache>
                <c:formatCode>General</c:formatCode>
                <c:ptCount val="3"/>
                <c:pt idx="0">
                  <c:v>13</c:v>
                </c:pt>
                <c:pt idx="1">
                  <c:v>300</c:v>
                </c:pt>
                <c:pt idx="2">
                  <c:v>300</c:v>
                </c:pt>
              </c:numCache>
            </c:numRef>
          </c:xVal>
          <c:yVal>
            <c:numRef>
              <c:f>'VTOL(1) PC1 &amp; PC2'!$C$67:$C$69</c:f>
              <c:numCache>
                <c:formatCode>General</c:formatCode>
                <c:ptCount val="3"/>
                <c:pt idx="0">
                  <c:v>30</c:v>
                </c:pt>
                <c:pt idx="1">
                  <c:v>30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09B-3B4F-AECB-39841E312E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0707912"/>
        <c:axId val="491314968"/>
      </c:scatterChart>
      <c:valAx>
        <c:axId val="500707912"/>
        <c:scaling>
          <c:orientation val="minMax"/>
          <c:min val="-20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 lang="en-AU"/>
                </a:pPr>
                <a:r>
                  <a:rPr lang="en-US"/>
                  <a:t>Distance from Take-Off Point (m)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AU"/>
            </a:pPr>
            <a:endParaRPr lang="en-US"/>
          </a:p>
        </c:txPr>
        <c:crossAx val="491314968"/>
        <c:crosses val="autoZero"/>
        <c:crossBetween val="midCat"/>
        <c:majorUnit val="500"/>
      </c:valAx>
      <c:valAx>
        <c:axId val="4913149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n-AU"/>
                </a:pPr>
                <a:r>
                  <a:rPr lang="en-US"/>
                  <a:t>Height (ft)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AU"/>
            </a:pPr>
            <a:endParaRPr lang="en-US"/>
          </a:p>
        </c:txPr>
        <c:crossAx val="500707912"/>
        <c:crosses val="autoZero"/>
        <c:crossBetween val="midCat"/>
        <c:majorUnit val="100"/>
      </c:valAx>
    </c:plotArea>
    <c:legend>
      <c:legendPos val="t"/>
      <c:overlay val="0"/>
      <c:txPr>
        <a:bodyPr/>
        <a:lstStyle/>
        <a:p>
          <a:pPr>
            <a:defRPr lang="en-AU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AU"/>
            </a:pPr>
            <a:r>
              <a:rPr lang="en-US" sz="1800" b="1" i="0" u="sng" baseline="0">
                <a:effectLst/>
              </a:rPr>
              <a:t>EC135 P2 Vertical PC2WE Take-Off (&lt;CAT A) - DPATO at RP</a:t>
            </a:r>
            <a:endParaRPr lang="en-AU">
              <a:effectLst/>
            </a:endParaRP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v>OEI Take-Off Path</c:v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dPt>
            <c:idx val="1"/>
            <c:bubble3D val="0"/>
            <c:spPr>
              <a:ln>
                <a:solidFill>
                  <a:srgbClr val="00B05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5B3A-9B4D-BBED-8AAD097BBC7A}"/>
              </c:ext>
            </c:extLst>
          </c:dPt>
          <c:dPt>
            <c:idx val="2"/>
            <c:bubble3D val="0"/>
            <c:spPr>
              <a:ln>
                <a:solidFill>
                  <a:srgbClr val="00B05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5B3A-9B4D-BBED-8AAD097BBC7A}"/>
              </c:ext>
            </c:extLst>
          </c:dPt>
          <c:xVal>
            <c:numRef>
              <c:f>'Vertical PC2WE &lt;CAT A'!$K$50:$K$57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 formatCode="0">
                  <c:v>0</c:v>
                </c:pt>
                <c:pt idx="3" formatCode="0">
                  <c:v>159.66153846153847</c:v>
                </c:pt>
                <c:pt idx="4" formatCode="0">
                  <c:v>230</c:v>
                </c:pt>
                <c:pt idx="5" formatCode="0">
                  <c:v>2628.9479384615383</c:v>
                </c:pt>
                <c:pt idx="6" formatCode="0">
                  <c:v>2978.9479384615383</c:v>
                </c:pt>
                <c:pt idx="7" formatCode="0">
                  <c:v>4333.6146051282049</c:v>
                </c:pt>
              </c:numCache>
            </c:numRef>
          </c:xVal>
          <c:yVal>
            <c:numRef>
              <c:f>'Vertical PC2WE &lt;CAT A'!$J$50:$J$57</c:f>
              <c:numCache>
                <c:formatCode>General</c:formatCode>
                <c:ptCount val="8"/>
                <c:pt idx="0">
                  <c:v>0</c:v>
                </c:pt>
                <c:pt idx="1">
                  <c:v>120</c:v>
                </c:pt>
                <c:pt idx="2">
                  <c:v>155</c:v>
                </c:pt>
                <c:pt idx="3">
                  <c:v>70</c:v>
                </c:pt>
                <c:pt idx="4">
                  <c:v>85</c:v>
                </c:pt>
                <c:pt idx="5" formatCode="0">
                  <c:v>596.5866666666667</c:v>
                </c:pt>
                <c:pt idx="6" formatCode="0">
                  <c:v>596.5866666666667</c:v>
                </c:pt>
                <c:pt idx="7" formatCode="0">
                  <c:v>796.5866666666667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C85-DE40-B4CE-D7F48B9F8353}"/>
            </c:ext>
          </c:extLst>
        </c:ser>
        <c:ser>
          <c:idx val="3"/>
          <c:order val="1"/>
          <c:tx>
            <c:v>OLS Gradient</c:v>
          </c:tx>
          <c:spPr>
            <a:ln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'Vertical PC2WE &lt;CAT A'!$G$50:$G$53</c:f>
              <c:numCache>
                <c:formatCode>General</c:formatCode>
                <c:ptCount val="4"/>
                <c:pt idx="0">
                  <c:v>13</c:v>
                </c:pt>
                <c:pt idx="1">
                  <c:v>13</c:v>
                </c:pt>
                <c:pt idx="2">
                  <c:v>313</c:v>
                </c:pt>
                <c:pt idx="3" formatCode="0">
                  <c:v>4333.6146051282049</c:v>
                </c:pt>
              </c:numCache>
            </c:numRef>
          </c:xVal>
          <c:yVal>
            <c:numRef>
              <c:f>'Vertical PC2WE &lt;CAT A'!$F$50:$F$53</c:f>
              <c:numCache>
                <c:formatCode>0</c:formatCode>
                <c:ptCount val="4"/>
                <c:pt idx="0" formatCode="General">
                  <c:v>0</c:v>
                </c:pt>
                <c:pt idx="1">
                  <c:v>44</c:v>
                </c:pt>
                <c:pt idx="2">
                  <c:v>44</c:v>
                </c:pt>
                <c:pt idx="3">
                  <c:v>637.59467595396734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C85-DE40-B4CE-D7F48B9F8353}"/>
            </c:ext>
          </c:extLst>
        </c:ser>
        <c:ser>
          <c:idx val="4"/>
          <c:order val="2"/>
          <c:tx>
            <c:v>Minimum Flight Path</c:v>
          </c:tx>
          <c:spPr>
            <a:ln>
              <a:solidFill>
                <a:srgbClr val="FF0000"/>
              </a:solidFill>
              <a:prstDash val="sysDot"/>
            </a:ln>
          </c:spPr>
          <c:marker>
            <c:symbol val="none"/>
          </c:marker>
          <c:xVal>
            <c:numRef>
              <c:f>'Vertical PC2WE &lt;CAT A'!$H$50:$H$54</c:f>
              <c:numCache>
                <c:formatCode>0</c:formatCode>
                <c:ptCount val="5"/>
                <c:pt idx="0" formatCode="General">
                  <c:v>13</c:v>
                </c:pt>
                <c:pt idx="1">
                  <c:v>13</c:v>
                </c:pt>
                <c:pt idx="2">
                  <c:v>313</c:v>
                </c:pt>
                <c:pt idx="3">
                  <c:v>313</c:v>
                </c:pt>
                <c:pt idx="4">
                  <c:v>4333.6146051282049</c:v>
                </c:pt>
              </c:numCache>
            </c:numRef>
          </c:xVal>
          <c:yVal>
            <c:numRef>
              <c:f>'Vertical PC2WE &lt;CAT A'!$I$50:$I$54</c:f>
              <c:numCache>
                <c:formatCode>0</c:formatCode>
                <c:ptCount val="5"/>
                <c:pt idx="0" formatCode="General">
                  <c:v>0</c:v>
                </c:pt>
                <c:pt idx="1">
                  <c:v>65</c:v>
                </c:pt>
                <c:pt idx="2">
                  <c:v>65</c:v>
                </c:pt>
                <c:pt idx="3">
                  <c:v>79</c:v>
                </c:pt>
                <c:pt idx="4">
                  <c:v>672.59467595396734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C85-DE40-B4CE-D7F48B9F8353}"/>
            </c:ext>
          </c:extLst>
        </c:ser>
        <c:ser>
          <c:idx val="0"/>
          <c:order val="3"/>
          <c:tx>
            <c:v>OLS Obstacle</c:v>
          </c:tx>
          <c:spPr>
            <a:ln w="127000" cap="flat"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'Vertical PC2WE &lt;CAT A'!$D$57:$D$58</c:f>
              <c:numCache>
                <c:formatCode>General</c:formatCode>
                <c:ptCount val="2"/>
                <c:pt idx="0">
                  <c:v>700</c:v>
                </c:pt>
                <c:pt idx="1">
                  <c:v>700</c:v>
                </c:pt>
              </c:numCache>
            </c:numRef>
          </c:xVal>
          <c:yVal>
            <c:numRef>
              <c:f>'Vertical PC2WE &lt;CAT A'!$C$57:$C$58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426-BC47-95BF-2048DBCBB17A}"/>
            </c:ext>
          </c:extLst>
        </c:ser>
        <c:ser>
          <c:idx val="1"/>
          <c:order val="4"/>
          <c:tx>
            <c:v>Clearway Obstacle</c:v>
          </c:tx>
          <c:spPr>
            <a:ln w="38100">
              <a:solidFill>
                <a:srgbClr val="FFC000"/>
              </a:solidFill>
              <a:prstDash val="sysDash"/>
            </a:ln>
          </c:spPr>
          <c:marker>
            <c:symbol val="none"/>
          </c:marker>
          <c:xVal>
            <c:numRef>
              <c:f>'Vertical PC2WE &lt;CAT A'!$D$62:$D$64</c:f>
              <c:numCache>
                <c:formatCode>General</c:formatCode>
                <c:ptCount val="3"/>
                <c:pt idx="0">
                  <c:v>13</c:v>
                </c:pt>
                <c:pt idx="1">
                  <c:v>300</c:v>
                </c:pt>
                <c:pt idx="2">
                  <c:v>300</c:v>
                </c:pt>
              </c:numCache>
            </c:numRef>
          </c:xVal>
          <c:yVal>
            <c:numRef>
              <c:f>'Vertical PC2WE &lt;CAT A'!$C$62:$C$64</c:f>
              <c:numCache>
                <c:formatCode>General</c:formatCode>
                <c:ptCount val="3"/>
                <c:pt idx="0">
                  <c:v>30</c:v>
                </c:pt>
                <c:pt idx="1">
                  <c:v>30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27C-304A-A22C-7211531AF6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0707912"/>
        <c:axId val="491314968"/>
      </c:scatterChart>
      <c:valAx>
        <c:axId val="500707912"/>
        <c:scaling>
          <c:orientation val="minMax"/>
          <c:min val="-20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 lang="en-AU"/>
                </a:pPr>
                <a:r>
                  <a:rPr lang="en-US"/>
                  <a:t>Distance from Take-Off Point (m)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AU"/>
            </a:pPr>
            <a:endParaRPr lang="en-US"/>
          </a:p>
        </c:txPr>
        <c:crossAx val="491314968"/>
        <c:crosses val="autoZero"/>
        <c:crossBetween val="midCat"/>
        <c:majorUnit val="500"/>
      </c:valAx>
      <c:valAx>
        <c:axId val="4913149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n-AU"/>
                </a:pPr>
                <a:r>
                  <a:rPr lang="en-US"/>
                  <a:t>Height (ft)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AU"/>
            </a:pPr>
            <a:endParaRPr lang="en-US"/>
          </a:p>
        </c:txPr>
        <c:crossAx val="500707912"/>
        <c:crosses val="autoZero"/>
        <c:crossBetween val="midCat"/>
        <c:majorUnit val="100"/>
      </c:valAx>
    </c:plotArea>
    <c:legend>
      <c:legendPos val="t"/>
      <c:overlay val="0"/>
      <c:txPr>
        <a:bodyPr/>
        <a:lstStyle/>
        <a:p>
          <a:pPr>
            <a:defRPr lang="en-AU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AU"/>
            </a:pPr>
            <a:r>
              <a:rPr lang="en-US" sz="1800" b="1" i="0" u="sng" baseline="0">
                <a:effectLst/>
              </a:rPr>
              <a:t>EC135 P2 Vertical PC2WE Take-Off (&gt;CAT A) - DPATO at Vtoss</a:t>
            </a:r>
            <a:endParaRPr lang="en-AU">
              <a:effectLst/>
            </a:endParaRP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v>OEI Take-Off Path</c:v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dPt>
            <c:idx val="1"/>
            <c:bubble3D val="0"/>
            <c:spPr>
              <a:ln>
                <a:solidFill>
                  <a:srgbClr val="00B05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E54D-4046-A9CF-A5E6594E38E2}"/>
              </c:ext>
            </c:extLst>
          </c:dPt>
          <c:dPt>
            <c:idx val="3"/>
            <c:bubble3D val="0"/>
            <c:spPr>
              <a:ln>
                <a:solidFill>
                  <a:srgbClr val="00B05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E54D-4046-A9CF-A5E6594E38E2}"/>
              </c:ext>
            </c:extLst>
          </c:dPt>
          <c:xVal>
            <c:numRef>
              <c:f>'Vertical PC2WE &gt;CAT A'!$K$50:$K$56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 formatCode="0">
                  <c:v>0</c:v>
                </c:pt>
                <c:pt idx="3" formatCode="0">
                  <c:v>230</c:v>
                </c:pt>
                <c:pt idx="4" formatCode="0">
                  <c:v>2699.2864000000004</c:v>
                </c:pt>
                <c:pt idx="5" formatCode="0">
                  <c:v>3049.2864000000004</c:v>
                </c:pt>
                <c:pt idx="6" formatCode="0">
                  <c:v>5487.6863999999996</c:v>
                </c:pt>
              </c:numCache>
            </c:numRef>
          </c:xVal>
          <c:yVal>
            <c:numRef>
              <c:f>'Vertical PC2WE &gt;CAT A'!$J$50:$J$56</c:f>
              <c:numCache>
                <c:formatCode>General</c:formatCode>
                <c:ptCount val="7"/>
                <c:pt idx="0">
                  <c:v>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 formatCode="0">
                  <c:v>414.05333333333334</c:v>
                </c:pt>
                <c:pt idx="5" formatCode="0">
                  <c:v>414.05333333333334</c:v>
                </c:pt>
                <c:pt idx="6" formatCode="0">
                  <c:v>614.05333333333328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CC-B146-B144-9D2E3DA4D26C}"/>
            </c:ext>
          </c:extLst>
        </c:ser>
        <c:ser>
          <c:idx val="3"/>
          <c:order val="1"/>
          <c:tx>
            <c:v>OLS Gradient</c:v>
          </c:tx>
          <c:spPr>
            <a:ln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'Vertical PC2WE &gt;CAT A'!$G$50:$G$53</c:f>
              <c:numCache>
                <c:formatCode>General</c:formatCode>
                <c:ptCount val="4"/>
                <c:pt idx="0">
                  <c:v>13</c:v>
                </c:pt>
                <c:pt idx="1">
                  <c:v>13</c:v>
                </c:pt>
                <c:pt idx="2">
                  <c:v>313</c:v>
                </c:pt>
                <c:pt idx="3" formatCode="0">
                  <c:v>5487.6863999999996</c:v>
                </c:pt>
              </c:numCache>
            </c:numRef>
          </c:xVal>
          <c:yVal>
            <c:numRef>
              <c:f>'Vertical PC2WE &gt;CAT A'!$F$50:$F$53</c:f>
              <c:numCache>
                <c:formatCode>0</c:formatCode>
                <c:ptCount val="4"/>
                <c:pt idx="0" formatCode="General">
                  <c:v>0</c:v>
                </c:pt>
                <c:pt idx="1">
                  <c:v>52.136482939632543</c:v>
                </c:pt>
                <c:pt idx="2">
                  <c:v>52.136482939632543</c:v>
                </c:pt>
                <c:pt idx="3">
                  <c:v>731.22918635170595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CC-B146-B144-9D2E3DA4D26C}"/>
            </c:ext>
          </c:extLst>
        </c:ser>
        <c:ser>
          <c:idx val="4"/>
          <c:order val="2"/>
          <c:tx>
            <c:v>Minimum Flight Path</c:v>
          </c:tx>
          <c:spPr>
            <a:ln>
              <a:solidFill>
                <a:srgbClr val="FF0000"/>
              </a:solidFill>
              <a:prstDash val="sysDot"/>
            </a:ln>
          </c:spPr>
          <c:marker>
            <c:symbol val="none"/>
          </c:marker>
          <c:xVal>
            <c:numRef>
              <c:f>'Vertical PC2WE &gt;CAT A'!$H$50:$H$54</c:f>
              <c:numCache>
                <c:formatCode>0</c:formatCode>
                <c:ptCount val="5"/>
                <c:pt idx="0" formatCode="General">
                  <c:v>13</c:v>
                </c:pt>
                <c:pt idx="1">
                  <c:v>13</c:v>
                </c:pt>
                <c:pt idx="2">
                  <c:v>313</c:v>
                </c:pt>
                <c:pt idx="3">
                  <c:v>313</c:v>
                </c:pt>
                <c:pt idx="4">
                  <c:v>5487.6863999999996</c:v>
                </c:pt>
              </c:numCache>
            </c:numRef>
          </c:xVal>
          <c:yVal>
            <c:numRef>
              <c:f>'Vertical PC2WE &gt;CAT A'!$I$50:$I$54</c:f>
              <c:numCache>
                <c:formatCode>0</c:formatCode>
                <c:ptCount val="5"/>
                <c:pt idx="0" formatCode="General">
                  <c:v>0</c:v>
                </c:pt>
                <c:pt idx="1">
                  <c:v>67.136482939632543</c:v>
                </c:pt>
                <c:pt idx="2">
                  <c:v>67.136482939632543</c:v>
                </c:pt>
                <c:pt idx="3">
                  <c:v>87.136482939632543</c:v>
                </c:pt>
                <c:pt idx="4">
                  <c:v>766.22918635170595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CC-B146-B144-9D2E3DA4D26C}"/>
            </c:ext>
          </c:extLst>
        </c:ser>
        <c:ser>
          <c:idx val="0"/>
          <c:order val="3"/>
          <c:tx>
            <c:v>OLS Obstacle</c:v>
          </c:tx>
          <c:spPr>
            <a:ln w="127000" cap="flat"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'Vertical PC2WE &gt;CAT A'!$D$57:$D$58</c:f>
              <c:numCache>
                <c:formatCode>General</c:formatCode>
                <c:ptCount val="2"/>
                <c:pt idx="0">
                  <c:v>700</c:v>
                </c:pt>
                <c:pt idx="1">
                  <c:v>700</c:v>
                </c:pt>
              </c:numCache>
            </c:numRef>
          </c:xVal>
          <c:yVal>
            <c:numRef>
              <c:f>'Vertical PC2WE &gt;CAT A'!$C$57:$C$58</c:f>
              <c:numCache>
                <c:formatCode>General</c:formatCode>
                <c:ptCount val="2"/>
                <c:pt idx="0">
                  <c:v>0</c:v>
                </c:pt>
                <c:pt idx="1">
                  <c:v>105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802-D04E-B11C-9732686D791F}"/>
            </c:ext>
          </c:extLst>
        </c:ser>
        <c:ser>
          <c:idx val="1"/>
          <c:order val="4"/>
          <c:tx>
            <c:v>Clearway Obstacle</c:v>
          </c:tx>
          <c:spPr>
            <a:ln w="38100">
              <a:solidFill>
                <a:srgbClr val="FFC000"/>
              </a:solidFill>
              <a:prstDash val="sysDash"/>
            </a:ln>
          </c:spPr>
          <c:marker>
            <c:symbol val="none"/>
          </c:marker>
          <c:xVal>
            <c:numRef>
              <c:f>'Vertical PC2WE &gt;CAT A'!$D$62:$D$64</c:f>
              <c:numCache>
                <c:formatCode>General</c:formatCode>
                <c:ptCount val="3"/>
                <c:pt idx="0">
                  <c:v>13</c:v>
                </c:pt>
                <c:pt idx="1">
                  <c:v>300</c:v>
                </c:pt>
                <c:pt idx="2">
                  <c:v>300</c:v>
                </c:pt>
              </c:numCache>
            </c:numRef>
          </c:xVal>
          <c:yVal>
            <c:numRef>
              <c:f>'Vertical PC2WE &gt;CAT A'!$C$62:$C$64</c:f>
              <c:numCache>
                <c:formatCode>General</c:formatCode>
                <c:ptCount val="3"/>
                <c:pt idx="0">
                  <c:v>30</c:v>
                </c:pt>
                <c:pt idx="1">
                  <c:v>30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B20-0A44-A66C-902F42E8EE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0707912"/>
        <c:axId val="491314968"/>
      </c:scatterChart>
      <c:valAx>
        <c:axId val="500707912"/>
        <c:scaling>
          <c:orientation val="minMax"/>
          <c:min val="-20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 lang="en-AU"/>
                </a:pPr>
                <a:r>
                  <a:rPr lang="en-US"/>
                  <a:t>Distance from Take-Off Point (m)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AU"/>
            </a:pPr>
            <a:endParaRPr lang="en-US"/>
          </a:p>
        </c:txPr>
        <c:crossAx val="491314968"/>
        <c:crosses val="autoZero"/>
        <c:crossBetween val="midCat"/>
        <c:majorUnit val="500"/>
      </c:valAx>
      <c:valAx>
        <c:axId val="4913149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n-AU"/>
                </a:pPr>
                <a:r>
                  <a:rPr lang="en-US"/>
                  <a:t>Height (ft)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AU"/>
            </a:pPr>
            <a:endParaRPr lang="en-US"/>
          </a:p>
        </c:txPr>
        <c:crossAx val="500707912"/>
        <c:crosses val="autoZero"/>
        <c:crossBetween val="midCat"/>
        <c:majorUnit val="100"/>
      </c:valAx>
    </c:plotArea>
    <c:legend>
      <c:legendPos val="t"/>
      <c:overlay val="0"/>
      <c:txPr>
        <a:bodyPr/>
        <a:lstStyle/>
        <a:p>
          <a:pPr>
            <a:defRPr lang="en-AU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AU"/>
            </a:pPr>
            <a:r>
              <a:rPr lang="en-US" sz="1800" b="1" i="0" u="sng" baseline="0">
                <a:effectLst/>
              </a:rPr>
              <a:t>EC135 P2 Clear Heliport PC1 Take-Off</a:t>
            </a:r>
            <a:endParaRPr lang="en-AU">
              <a:effectLst/>
            </a:endParaRP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v>OEI Take-Off Path</c:v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dPt>
            <c:idx val="1"/>
            <c:bubble3D val="0"/>
            <c:spPr>
              <a:ln>
                <a:solidFill>
                  <a:srgbClr val="00B05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FDA-5C48-9B5B-832277D5FA1B}"/>
              </c:ext>
            </c:extLst>
          </c:dPt>
          <c:dPt>
            <c:idx val="3"/>
            <c:bubble3D val="0"/>
            <c:spPr>
              <a:ln>
                <a:solidFill>
                  <a:srgbClr val="0070C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FDA-5C48-9B5B-832277D5FA1B}"/>
              </c:ext>
            </c:extLst>
          </c:dPt>
          <c:xVal>
            <c:numRef>
              <c:f>'Clear Heliport PC1'!$K$50:$K$54</c:f>
              <c:numCache>
                <c:formatCode>0</c:formatCode>
                <c:ptCount val="5"/>
                <c:pt idx="0" formatCode="General">
                  <c:v>0</c:v>
                </c:pt>
                <c:pt idx="1">
                  <c:v>210</c:v>
                </c:pt>
                <c:pt idx="2">
                  <c:v>2679.2864</c:v>
                </c:pt>
                <c:pt idx="3">
                  <c:v>3029.2864</c:v>
                </c:pt>
                <c:pt idx="4">
                  <c:v>5467.6863999999996</c:v>
                </c:pt>
              </c:numCache>
            </c:numRef>
          </c:xVal>
          <c:yVal>
            <c:numRef>
              <c:f>'Clear Heliport PC1'!$J$50:$J$54</c:f>
              <c:numCache>
                <c:formatCode>General</c:formatCode>
                <c:ptCount val="5"/>
                <c:pt idx="0">
                  <c:v>0</c:v>
                </c:pt>
                <c:pt idx="1">
                  <c:v>35</c:v>
                </c:pt>
                <c:pt idx="2" formatCode="0">
                  <c:v>237.53333333333333</c:v>
                </c:pt>
                <c:pt idx="3" formatCode="0">
                  <c:v>237.53333333333333</c:v>
                </c:pt>
                <c:pt idx="4" formatCode="0">
                  <c:v>437.5333333333333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FDA-5C48-9B5B-832277D5FA1B}"/>
            </c:ext>
          </c:extLst>
        </c:ser>
        <c:ser>
          <c:idx val="3"/>
          <c:order val="1"/>
          <c:tx>
            <c:v>OLS Gradient</c:v>
          </c:tx>
          <c:spPr>
            <a:ln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'Clear Heliport PC1'!$G$50:$G$53</c:f>
              <c:numCache>
                <c:formatCode>General</c:formatCode>
                <c:ptCount val="4"/>
                <c:pt idx="0">
                  <c:v>210</c:v>
                </c:pt>
                <c:pt idx="1">
                  <c:v>700</c:v>
                </c:pt>
                <c:pt idx="2">
                  <c:v>700</c:v>
                </c:pt>
                <c:pt idx="3" formatCode="0">
                  <c:v>5467.6863999999996</c:v>
                </c:pt>
              </c:numCache>
            </c:numRef>
          </c:xVal>
          <c:yVal>
            <c:numRef>
              <c:f>'Clear Heliport PC1'!$F$50:$F$53</c:f>
              <c:numCache>
                <c:formatCode>0</c:formatCode>
                <c:ptCount val="4"/>
                <c:pt idx="0" formatCode="General">
                  <c:v>0</c:v>
                </c:pt>
                <c:pt idx="1">
                  <c:v>0</c:v>
                </c:pt>
                <c:pt idx="2">
                  <c:v>28.346456692913385</c:v>
                </c:pt>
                <c:pt idx="3">
                  <c:v>372.4708031496063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FDA-5C48-9B5B-832277D5FA1B}"/>
            </c:ext>
          </c:extLst>
        </c:ser>
        <c:ser>
          <c:idx val="4"/>
          <c:order val="2"/>
          <c:tx>
            <c:v>Minimum Flight Path</c:v>
          </c:tx>
          <c:spPr>
            <a:ln>
              <a:solidFill>
                <a:srgbClr val="FF0000"/>
              </a:solidFill>
              <a:prstDash val="sysDot"/>
            </a:ln>
          </c:spPr>
          <c:marker>
            <c:symbol val="none"/>
          </c:marker>
          <c:xVal>
            <c:numRef>
              <c:f>'Clear Heliport PC1'!$H$50:$H$54</c:f>
              <c:numCache>
                <c:formatCode>General</c:formatCode>
                <c:ptCount val="5"/>
                <c:pt idx="0">
                  <c:v>210</c:v>
                </c:pt>
                <c:pt idx="1">
                  <c:v>210</c:v>
                </c:pt>
                <c:pt idx="2">
                  <c:v>700</c:v>
                </c:pt>
                <c:pt idx="3" formatCode="0">
                  <c:v>700</c:v>
                </c:pt>
                <c:pt idx="4" formatCode="0">
                  <c:v>5467.6863999999996</c:v>
                </c:pt>
              </c:numCache>
            </c:numRef>
          </c:xVal>
          <c:yVal>
            <c:numRef>
              <c:f>'Clear Heliport PC1'!$I$50:$I$54</c:f>
              <c:numCache>
                <c:formatCode>0</c:formatCode>
                <c:ptCount val="5"/>
                <c:pt idx="0" formatCode="General">
                  <c:v>0</c:v>
                </c:pt>
                <c:pt idx="1">
                  <c:v>35</c:v>
                </c:pt>
                <c:pt idx="2">
                  <c:v>35</c:v>
                </c:pt>
                <c:pt idx="3">
                  <c:v>63.346456692913385</c:v>
                </c:pt>
                <c:pt idx="4">
                  <c:v>407.4708031496063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FDA-5C48-9B5B-832277D5FA1B}"/>
            </c:ext>
          </c:extLst>
        </c:ser>
        <c:ser>
          <c:idx val="0"/>
          <c:order val="3"/>
          <c:tx>
            <c:v>OLS Obstacle</c:v>
          </c:tx>
          <c:spPr>
            <a:ln w="127000" cap="flat"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'Clear Heliport PC1'!$D$57:$D$58</c:f>
              <c:numCache>
                <c:formatCode>General</c:formatCode>
                <c:ptCount val="2"/>
                <c:pt idx="0">
                  <c:v>1000</c:v>
                </c:pt>
                <c:pt idx="1">
                  <c:v>1000</c:v>
                </c:pt>
              </c:numCache>
            </c:numRef>
          </c:xVal>
          <c:yVal>
            <c:numRef>
              <c:f>'Clear Heliport PC1'!$C$57:$C$58</c:f>
              <c:numCache>
                <c:formatCode>General</c:formatCode>
                <c:ptCount val="2"/>
                <c:pt idx="0">
                  <c:v>0</c:v>
                </c:pt>
                <c:pt idx="1">
                  <c:v>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FDA-5C48-9B5B-832277D5FA1B}"/>
            </c:ext>
          </c:extLst>
        </c:ser>
        <c:ser>
          <c:idx val="1"/>
          <c:order val="4"/>
          <c:tx>
            <c:v>Runway</c:v>
          </c:tx>
          <c:spPr>
            <a:ln w="762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'Clear Heliport PC1'!$D$62:$D$63</c:f>
              <c:numCache>
                <c:formatCode>General</c:formatCode>
                <c:ptCount val="2"/>
                <c:pt idx="0">
                  <c:v>0</c:v>
                </c:pt>
                <c:pt idx="1">
                  <c:v>600</c:v>
                </c:pt>
              </c:numCache>
            </c:numRef>
          </c:xVal>
          <c:yVal>
            <c:numRef>
              <c:f>'Clear Heliport PC1'!$C$62:$C$63</c:f>
              <c:numCache>
                <c:formatCode>General</c:formatCode>
                <c:ptCount val="2"/>
                <c:pt idx="0" formatCode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AFDA-5C48-9B5B-832277D5F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0707912"/>
        <c:axId val="491314968"/>
      </c:scatterChart>
      <c:valAx>
        <c:axId val="500707912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 lang="en-AU"/>
                </a:pPr>
                <a:r>
                  <a:rPr lang="en-US"/>
                  <a:t>Distance from Take-Off Point (m)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AU"/>
            </a:pPr>
            <a:endParaRPr lang="en-US"/>
          </a:p>
        </c:txPr>
        <c:crossAx val="491314968"/>
        <c:crosses val="autoZero"/>
        <c:crossBetween val="midCat"/>
      </c:valAx>
      <c:valAx>
        <c:axId val="4913149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n-AU"/>
                </a:pPr>
                <a:r>
                  <a:rPr lang="en-US"/>
                  <a:t>Height (ft)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AU"/>
            </a:pPr>
            <a:endParaRPr lang="en-US"/>
          </a:p>
        </c:txPr>
        <c:crossAx val="500707912"/>
        <c:crosses val="autoZero"/>
        <c:crossBetween val="midCat"/>
        <c:majorUnit val="100"/>
      </c:valAx>
    </c:plotArea>
    <c:legend>
      <c:legendPos val="t"/>
      <c:overlay val="0"/>
      <c:txPr>
        <a:bodyPr/>
        <a:lstStyle/>
        <a:p>
          <a:pPr>
            <a:defRPr lang="en-AU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241300</xdr:colOff>
      <xdr:row>0</xdr:row>
      <xdr:rowOff>114300</xdr:rowOff>
    </xdr:from>
    <xdr:to>
      <xdr:col>9</xdr:col>
      <xdr:colOff>183445</xdr:colOff>
      <xdr:row>32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241300</xdr:colOff>
      <xdr:row>0</xdr:row>
      <xdr:rowOff>114300</xdr:rowOff>
    </xdr:from>
    <xdr:to>
      <xdr:col>9</xdr:col>
      <xdr:colOff>183445</xdr:colOff>
      <xdr:row>32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241300</xdr:colOff>
      <xdr:row>0</xdr:row>
      <xdr:rowOff>114300</xdr:rowOff>
    </xdr:from>
    <xdr:to>
      <xdr:col>9</xdr:col>
      <xdr:colOff>183445</xdr:colOff>
      <xdr:row>32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241300</xdr:colOff>
      <xdr:row>0</xdr:row>
      <xdr:rowOff>114300</xdr:rowOff>
    </xdr:from>
    <xdr:to>
      <xdr:col>9</xdr:col>
      <xdr:colOff>183445</xdr:colOff>
      <xdr:row>32</xdr:row>
      <xdr:rowOff>12700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46B6C23-6E67-4F4E-8402-60B7AEF884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3AF7F-8889-4343-9171-2B2674E2C1D9}">
  <dimension ref="B34:L69"/>
  <sheetViews>
    <sheetView tabSelected="1" topLeftCell="A31" zoomScaleNormal="100" zoomScalePageLayoutView="70" workbookViewId="0">
      <selection activeCell="D41" sqref="D41"/>
    </sheetView>
  </sheetViews>
  <sheetFormatPr defaultColWidth="11.19921875" defaultRowHeight="15" x14ac:dyDescent="0.2"/>
  <cols>
    <col min="2" max="2" width="37.8984375" customWidth="1"/>
    <col min="5" max="5" width="8.3984375" customWidth="1"/>
    <col min="6" max="6" width="26.8984375" customWidth="1"/>
    <col min="7" max="7" width="8.3984375" customWidth="1"/>
    <col min="8" max="8" width="9" customWidth="1"/>
    <col min="9" max="9" width="11.8984375" customWidth="1"/>
    <col min="10" max="10" width="12.8984375" customWidth="1"/>
  </cols>
  <sheetData>
    <row r="34" spans="2:12" x14ac:dyDescent="0.2">
      <c r="B34" s="16" t="s">
        <v>15</v>
      </c>
      <c r="C34" s="13"/>
      <c r="D34" s="13"/>
      <c r="E34" s="13"/>
      <c r="F34" s="16" t="s">
        <v>8</v>
      </c>
      <c r="G34" s="13"/>
      <c r="H34" s="13"/>
      <c r="I34" s="13"/>
      <c r="J34" s="13"/>
      <c r="K34" s="13"/>
      <c r="L34" s="13"/>
    </row>
    <row r="35" spans="2:12" x14ac:dyDescent="0.2">
      <c r="B35" s="18" t="s">
        <v>16</v>
      </c>
      <c r="C35" s="48">
        <f>C50+IF(C51&gt;C52,C51,C52)</f>
        <v>44</v>
      </c>
      <c r="D35" s="22"/>
      <c r="E35" s="13"/>
      <c r="F35" s="18" t="s">
        <v>20</v>
      </c>
      <c r="G35" s="6">
        <v>2560</v>
      </c>
      <c r="H35" s="13"/>
      <c r="I35" s="19" t="s">
        <v>24</v>
      </c>
      <c r="J35" s="20">
        <v>40</v>
      </c>
      <c r="K35" s="13"/>
      <c r="L35" s="13"/>
    </row>
    <row r="36" spans="2:12" x14ac:dyDescent="0.2">
      <c r="B36" s="18" t="s">
        <v>38</v>
      </c>
      <c r="C36" s="3">
        <v>300</v>
      </c>
      <c r="D36" s="23" t="s">
        <v>5</v>
      </c>
      <c r="E36" s="13"/>
      <c r="F36" s="18" t="s">
        <v>21</v>
      </c>
      <c r="G36" s="9">
        <v>85</v>
      </c>
      <c r="H36" s="13"/>
      <c r="I36" s="19" t="s">
        <v>23</v>
      </c>
      <c r="J36" s="20">
        <v>65</v>
      </c>
      <c r="K36" s="13"/>
      <c r="L36" s="13"/>
    </row>
    <row r="37" spans="2:12" x14ac:dyDescent="0.2">
      <c r="B37" s="18" t="s">
        <v>39</v>
      </c>
      <c r="C37" s="4">
        <v>4.5</v>
      </c>
      <c r="D37" s="24">
        <f>DEGREES(ATAN(C37/100))</f>
        <v>2.5765718302688305</v>
      </c>
      <c r="E37" s="13"/>
      <c r="F37" s="18" t="s">
        <v>22</v>
      </c>
      <c r="G37" s="32">
        <f>K58+230</f>
        <v>150</v>
      </c>
      <c r="H37" s="13"/>
      <c r="I37" s="13"/>
      <c r="J37" s="13"/>
      <c r="K37" s="13"/>
      <c r="L37" s="13"/>
    </row>
    <row r="38" spans="2:12" ht="45" x14ac:dyDescent="0.2">
      <c r="B38" s="49" t="s">
        <v>40</v>
      </c>
      <c r="C38" s="3">
        <v>700</v>
      </c>
      <c r="D38" s="22"/>
      <c r="E38" s="13"/>
      <c r="F38" s="13"/>
      <c r="G38" s="25"/>
      <c r="H38" s="20" t="s">
        <v>5</v>
      </c>
      <c r="I38" s="26" t="s">
        <v>13</v>
      </c>
      <c r="J38" s="27" t="s">
        <v>14</v>
      </c>
      <c r="K38" s="28" t="s">
        <v>6</v>
      </c>
      <c r="L38" s="13"/>
    </row>
    <row r="39" spans="2:12" ht="21.95" customHeight="1" x14ac:dyDescent="0.2">
      <c r="B39" s="49" t="s">
        <v>41</v>
      </c>
      <c r="C39" s="3">
        <v>100</v>
      </c>
      <c r="D39" s="22"/>
      <c r="E39" s="13"/>
      <c r="F39" s="18" t="s">
        <v>33</v>
      </c>
      <c r="G39" s="7">
        <v>6.5</v>
      </c>
      <c r="H39" s="30">
        <f>DEGREES(ATAN(G39/100))</f>
        <v>3.7189939731580433</v>
      </c>
      <c r="I39" s="31">
        <f>CONVERT((100*(J61)/G39),"ft","m")</f>
        <v>2820.978707692308</v>
      </c>
      <c r="J39" s="32">
        <f>(J35-C44)/J35*I39</f>
        <v>2820.978707692308</v>
      </c>
      <c r="K39" s="33">
        <f>G39/100*J35*6076/60</f>
        <v>263.29333333333335</v>
      </c>
      <c r="L39" s="13"/>
    </row>
    <row r="40" spans="2:12" ht="30" x14ac:dyDescent="0.2">
      <c r="B40" s="49" t="s">
        <v>42</v>
      </c>
      <c r="C40" s="3">
        <v>30</v>
      </c>
      <c r="D40" s="22"/>
      <c r="E40" s="13"/>
      <c r="F40" s="34" t="s">
        <v>0</v>
      </c>
      <c r="G40" s="53">
        <f>350-C44*20/3</f>
        <v>350</v>
      </c>
      <c r="H40" s="34"/>
      <c r="I40" s="13"/>
      <c r="J40" s="13"/>
      <c r="K40" s="34"/>
      <c r="L40" s="13"/>
    </row>
    <row r="41" spans="2:12" x14ac:dyDescent="0.2">
      <c r="B41" s="22"/>
      <c r="C41" s="22"/>
      <c r="D41" s="22"/>
      <c r="E41" s="13"/>
      <c r="F41" s="18" t="s">
        <v>34</v>
      </c>
      <c r="G41" s="7">
        <v>4.5</v>
      </c>
      <c r="H41" s="30">
        <f>DEGREES(ATAN(G41/100))</f>
        <v>2.5765718302688305</v>
      </c>
      <c r="I41" s="31">
        <f>CONVERT((100*(J63-J62)/G41),"ft","m")</f>
        <v>1354.6666666666665</v>
      </c>
      <c r="J41" s="32">
        <f>(J36-C44)/J36*I41</f>
        <v>1354.6666666666665</v>
      </c>
      <c r="K41" s="33">
        <f>G41/100*J36*6076/60</f>
        <v>296.20499999999998</v>
      </c>
      <c r="L41" s="13"/>
    </row>
    <row r="42" spans="2:12" x14ac:dyDescent="0.2">
      <c r="B42" s="22"/>
      <c r="C42" s="22"/>
      <c r="D42" s="22"/>
      <c r="E42" s="13"/>
      <c r="F42" s="13"/>
      <c r="G42" s="13"/>
      <c r="H42" s="13"/>
      <c r="I42" s="13"/>
      <c r="J42" s="13"/>
      <c r="K42" s="13"/>
      <c r="L42" s="13"/>
    </row>
    <row r="43" spans="2:12" x14ac:dyDescent="0.2">
      <c r="B43" s="16" t="s">
        <v>12</v>
      </c>
      <c r="C43" s="41"/>
      <c r="D43" s="22"/>
      <c r="E43" s="13"/>
      <c r="F43" s="18" t="s">
        <v>31</v>
      </c>
      <c r="G43" s="6">
        <v>160</v>
      </c>
      <c r="H43" s="13"/>
      <c r="I43" s="13"/>
      <c r="J43" s="13"/>
      <c r="K43" s="13"/>
      <c r="L43" s="13"/>
    </row>
    <row r="44" spans="2:12" x14ac:dyDescent="0.2">
      <c r="B44" s="18" t="s">
        <v>30</v>
      </c>
      <c r="C44" s="5">
        <v>0</v>
      </c>
      <c r="D44" s="22"/>
      <c r="E44" s="13"/>
      <c r="F44" s="13"/>
      <c r="G44" s="13"/>
      <c r="H44" s="13"/>
      <c r="I44" s="13"/>
      <c r="J44" s="13"/>
      <c r="K44" s="13"/>
      <c r="L44" s="13"/>
    </row>
    <row r="45" spans="2:12" x14ac:dyDescent="0.2">
      <c r="B45" s="18" t="s">
        <v>17</v>
      </c>
      <c r="C45" s="5">
        <v>3000</v>
      </c>
      <c r="D45" s="22"/>
      <c r="E45" s="37"/>
      <c r="F45" s="13"/>
      <c r="G45" s="13"/>
      <c r="H45" s="13"/>
      <c r="I45" s="13"/>
      <c r="J45" s="13"/>
      <c r="K45" s="13"/>
      <c r="L45" s="13"/>
    </row>
    <row r="46" spans="2:12" x14ac:dyDescent="0.2">
      <c r="B46" s="18" t="s">
        <v>18</v>
      </c>
      <c r="C46" s="5">
        <v>35</v>
      </c>
      <c r="D46" s="22"/>
      <c r="E46" s="25"/>
      <c r="F46" s="13"/>
      <c r="G46" s="13"/>
      <c r="H46" s="13"/>
      <c r="I46" s="13"/>
      <c r="J46" s="13"/>
      <c r="K46" s="13"/>
      <c r="L46" s="13"/>
    </row>
    <row r="47" spans="2:12" x14ac:dyDescent="0.2">
      <c r="B47" s="18" t="s">
        <v>19</v>
      </c>
      <c r="C47" s="5">
        <v>2560</v>
      </c>
      <c r="D47" s="22"/>
      <c r="E47" s="13"/>
      <c r="F47" s="13"/>
      <c r="G47" s="13"/>
      <c r="H47" s="13"/>
      <c r="I47" s="13"/>
      <c r="J47" s="13"/>
      <c r="K47" s="13"/>
      <c r="L47" s="13"/>
    </row>
    <row r="48" spans="2:12" x14ac:dyDescent="0.2">
      <c r="B48" s="22"/>
      <c r="C48" s="22"/>
      <c r="D48" s="22"/>
      <c r="E48" s="13"/>
      <c r="F48" s="13"/>
      <c r="G48" s="13"/>
      <c r="H48" s="13"/>
      <c r="I48" s="13"/>
      <c r="J48" s="13"/>
      <c r="K48" s="13"/>
      <c r="L48" s="13"/>
    </row>
    <row r="49" spans="2:12" x14ac:dyDescent="0.2">
      <c r="B49" s="46" t="s">
        <v>47</v>
      </c>
      <c r="C49" s="13"/>
      <c r="D49" s="13"/>
      <c r="E49" s="13"/>
      <c r="F49" s="13"/>
      <c r="G49" s="13"/>
      <c r="H49" s="13"/>
      <c r="I49" s="13"/>
      <c r="J49" s="13"/>
      <c r="K49" s="13"/>
      <c r="L49" s="13"/>
    </row>
    <row r="50" spans="2:12" x14ac:dyDescent="0.2">
      <c r="B50" s="50" t="s">
        <v>48</v>
      </c>
      <c r="C50" s="48">
        <f>ROUND(CONVERT(C36*C37/100,"m","ft"),0)</f>
        <v>44</v>
      </c>
      <c r="D50" s="13"/>
      <c r="E50" s="13"/>
      <c r="F50" s="13"/>
      <c r="G50" s="13"/>
      <c r="H50" s="13"/>
      <c r="I50" s="13"/>
      <c r="J50" s="13"/>
      <c r="K50" s="13"/>
      <c r="L50" s="13"/>
    </row>
    <row r="51" spans="2:12" x14ac:dyDescent="0.2">
      <c r="B51" s="47" t="s">
        <v>49</v>
      </c>
      <c r="C51" s="48">
        <f>IF(C39 - CONVERT(C37*C38/100,"m","ft")&gt;0,C39 - CONVERT(C37*C38/100,"m","ft"),0)</f>
        <v>0</v>
      </c>
      <c r="D51" s="13"/>
      <c r="E51" s="13"/>
      <c r="F51" s="13"/>
      <c r="G51" s="13"/>
      <c r="H51" s="13"/>
      <c r="I51" s="13"/>
      <c r="J51" s="13"/>
      <c r="K51" s="13"/>
      <c r="L51" s="13"/>
    </row>
    <row r="52" spans="2:12" x14ac:dyDescent="0.2">
      <c r="B52" s="50" t="s">
        <v>50</v>
      </c>
      <c r="C52" s="23">
        <f>IF(C40&gt;C50,ROUND(C40-C50,0),0)</f>
        <v>0</v>
      </c>
      <c r="D52" s="13"/>
      <c r="E52" s="13"/>
      <c r="F52" s="13"/>
      <c r="G52" s="13"/>
      <c r="H52" s="13"/>
      <c r="I52" s="13"/>
      <c r="J52" s="13"/>
      <c r="K52" s="13"/>
      <c r="L52" s="13"/>
    </row>
    <row r="53" spans="2:12" x14ac:dyDescent="0.2"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</row>
    <row r="54" spans="2:12" x14ac:dyDescent="0.2">
      <c r="B54" s="36"/>
      <c r="C54" s="13"/>
      <c r="D54" s="13"/>
      <c r="E54" s="13"/>
      <c r="F54" s="44"/>
      <c r="G54" s="13"/>
      <c r="H54" s="13"/>
      <c r="I54" s="13"/>
      <c r="J54" s="13"/>
      <c r="K54" s="13"/>
      <c r="L54" s="13"/>
    </row>
    <row r="55" spans="2:12" ht="60" x14ac:dyDescent="0.2">
      <c r="B55" s="22"/>
      <c r="C55" s="36" t="s">
        <v>32</v>
      </c>
      <c r="D55" s="36" t="s">
        <v>2</v>
      </c>
      <c r="E55" s="13"/>
      <c r="F55" s="36" t="s">
        <v>26</v>
      </c>
      <c r="G55" s="36" t="s">
        <v>25</v>
      </c>
      <c r="H55" s="37" t="s">
        <v>1</v>
      </c>
      <c r="I55" s="37" t="s">
        <v>7</v>
      </c>
      <c r="J55" s="37" t="s">
        <v>3</v>
      </c>
      <c r="K55" s="37" t="s">
        <v>4</v>
      </c>
      <c r="L55" s="13"/>
    </row>
    <row r="56" spans="2:12" x14ac:dyDescent="0.2">
      <c r="B56" s="22"/>
      <c r="C56" s="41">
        <v>0</v>
      </c>
      <c r="D56" s="41">
        <v>-16</v>
      </c>
      <c r="E56" s="13"/>
      <c r="F56" s="25">
        <v>0</v>
      </c>
      <c r="G56" s="25">
        <v>13</v>
      </c>
      <c r="H56" s="25">
        <v>13</v>
      </c>
      <c r="I56" s="25">
        <v>0</v>
      </c>
      <c r="J56" s="25">
        <v>0</v>
      </c>
      <c r="K56" s="25">
        <v>0</v>
      </c>
      <c r="L56" s="13"/>
    </row>
    <row r="57" spans="2:12" x14ac:dyDescent="0.2">
      <c r="B57" s="22"/>
      <c r="C57" s="41">
        <v>30</v>
      </c>
      <c r="D57" s="41">
        <v>-80</v>
      </c>
      <c r="E57" s="13"/>
      <c r="F57" s="45">
        <f>IF(C40&gt;C35,C40,C35)</f>
        <v>44</v>
      </c>
      <c r="G57" s="52">
        <v>13</v>
      </c>
      <c r="H57" s="40">
        <f>G57</f>
        <v>13</v>
      </c>
      <c r="I57" s="45">
        <f t="shared" ref="I57" si="0">IF($C$35-$C$40&gt;20,$C$35+15,$C$40+35)</f>
        <v>65</v>
      </c>
      <c r="J57" s="25">
        <v>120</v>
      </c>
      <c r="K57" s="25">
        <v>-60</v>
      </c>
      <c r="L57" s="13"/>
    </row>
    <row r="58" spans="2:12" x14ac:dyDescent="0.2">
      <c r="B58" s="22"/>
      <c r="C58" s="41">
        <v>100</v>
      </c>
      <c r="D58" s="41">
        <v>-135</v>
      </c>
      <c r="E58" s="13"/>
      <c r="F58" s="45">
        <f>F57</f>
        <v>44</v>
      </c>
      <c r="G58" s="40">
        <f>C36+G57</f>
        <v>313</v>
      </c>
      <c r="H58" s="40">
        <f>G58</f>
        <v>313</v>
      </c>
      <c r="I58" s="45">
        <f>I57</f>
        <v>65</v>
      </c>
      <c r="J58" s="25">
        <f>G43</f>
        <v>160</v>
      </c>
      <c r="K58" s="52">
        <f>J58*K57/J57</f>
        <v>-80</v>
      </c>
      <c r="L58" s="13" t="s">
        <v>9</v>
      </c>
    </row>
    <row r="59" spans="2:12" x14ac:dyDescent="0.2">
      <c r="B59" s="22"/>
      <c r="C59" s="22"/>
      <c r="D59" s="22"/>
      <c r="E59" s="13"/>
      <c r="F59" s="40">
        <f>CONVERT((G59-G58)*$C$37/100,"m","ft")+F57</f>
        <v>625.78365233191994</v>
      </c>
      <c r="G59" s="40">
        <f>K63</f>
        <v>4253.6146051282049</v>
      </c>
      <c r="H59" s="40">
        <f>H58</f>
        <v>313</v>
      </c>
      <c r="I59" s="45">
        <f>F58+35</f>
        <v>79</v>
      </c>
      <c r="J59" s="25">
        <f>J58-G36</f>
        <v>75</v>
      </c>
      <c r="K59" s="40">
        <f>(J59-J60)/J61*$J$39+K60</f>
        <v>79.661538461538456</v>
      </c>
      <c r="L59" s="13" t="s">
        <v>10</v>
      </c>
    </row>
    <row r="60" spans="2:12" x14ac:dyDescent="0.2">
      <c r="B60" s="22"/>
      <c r="C60" s="22"/>
      <c r="D60" s="22"/>
      <c r="E60" s="13"/>
      <c r="F60" s="25"/>
      <c r="G60" s="25"/>
      <c r="H60" s="40">
        <f>G59</f>
        <v>4253.6146051282049</v>
      </c>
      <c r="I60" s="40">
        <f>CONVERT((H60-H58)*($C$37)/100,"m","ft")+I59</f>
        <v>660.78365233191994</v>
      </c>
      <c r="J60" s="25">
        <f>J59+15</f>
        <v>90</v>
      </c>
      <c r="K60" s="40">
        <f>G37</f>
        <v>150</v>
      </c>
      <c r="L60" s="13" t="s">
        <v>11</v>
      </c>
    </row>
    <row r="61" spans="2:12" ht="60" x14ac:dyDescent="0.2">
      <c r="B61" s="36"/>
      <c r="C61" s="36" t="s">
        <v>43</v>
      </c>
      <c r="D61" s="36" t="s">
        <v>44</v>
      </c>
      <c r="E61" s="13"/>
      <c r="F61" s="25"/>
      <c r="G61" s="40"/>
      <c r="H61" s="40"/>
      <c r="I61" s="25"/>
      <c r="J61" s="40">
        <f>J59+2*K39</f>
        <v>601.5866666666667</v>
      </c>
      <c r="K61" s="40">
        <f>(J61-J60)/J62*$J$39+K60</f>
        <v>2548.9479384615388</v>
      </c>
      <c r="L61" s="22" t="s">
        <v>27</v>
      </c>
    </row>
    <row r="62" spans="2:12" x14ac:dyDescent="0.2">
      <c r="B62" s="13"/>
      <c r="C62" s="41">
        <v>0</v>
      </c>
      <c r="D62" s="41">
        <f>C38</f>
        <v>700</v>
      </c>
      <c r="E62" s="13"/>
      <c r="F62" s="37"/>
      <c r="G62" s="40"/>
      <c r="H62" s="40"/>
      <c r="I62" s="25"/>
      <c r="J62" s="40">
        <f>J61</f>
        <v>601.5866666666667</v>
      </c>
      <c r="K62" s="40">
        <f>K61+G40</f>
        <v>2898.9479384615388</v>
      </c>
      <c r="L62" s="22" t="s">
        <v>28</v>
      </c>
    </row>
    <row r="63" spans="2:12" x14ac:dyDescent="0.2">
      <c r="B63" s="41"/>
      <c r="C63" s="41">
        <f>C39</f>
        <v>100</v>
      </c>
      <c r="D63" s="41">
        <f>C38</f>
        <v>700</v>
      </c>
      <c r="E63" s="13"/>
      <c r="F63" s="40"/>
      <c r="G63" s="25"/>
      <c r="H63" s="25"/>
      <c r="I63" s="25"/>
      <c r="J63" s="40">
        <f>J62+200</f>
        <v>801.5866666666667</v>
      </c>
      <c r="K63" s="40">
        <f>$J$41+K62</f>
        <v>4253.6146051282049</v>
      </c>
      <c r="L63" s="22" t="s">
        <v>29</v>
      </c>
    </row>
    <row r="64" spans="2:12" x14ac:dyDescent="0.2">
      <c r="B64" s="13"/>
      <c r="C64" s="22"/>
      <c r="D64" s="22"/>
      <c r="E64" s="13"/>
      <c r="F64" s="13"/>
      <c r="G64" s="13"/>
      <c r="H64" s="13"/>
      <c r="I64" s="13"/>
      <c r="J64" s="13"/>
      <c r="K64" s="13"/>
      <c r="L64" s="13"/>
    </row>
    <row r="65" spans="2:12" x14ac:dyDescent="0.2">
      <c r="B65" s="41"/>
      <c r="C65" s="22"/>
      <c r="D65" s="22"/>
      <c r="E65" s="13"/>
      <c r="F65" s="44"/>
      <c r="G65" s="13"/>
      <c r="H65" s="13"/>
      <c r="I65" s="13"/>
      <c r="J65" s="13"/>
      <c r="K65" s="13"/>
      <c r="L65" s="13"/>
    </row>
    <row r="66" spans="2:12" ht="60" x14ac:dyDescent="0.2">
      <c r="B66" s="13"/>
      <c r="C66" s="36" t="s">
        <v>45</v>
      </c>
      <c r="D66" s="36" t="s">
        <v>46</v>
      </c>
      <c r="E66" s="13"/>
      <c r="F66" s="13"/>
      <c r="G66" s="13"/>
      <c r="H66" s="13"/>
      <c r="I66" s="13"/>
      <c r="J66" s="13"/>
      <c r="K66" s="13"/>
      <c r="L66" s="13"/>
    </row>
    <row r="67" spans="2:12" x14ac:dyDescent="0.2">
      <c r="B67" s="13"/>
      <c r="C67" s="41">
        <f>C40</f>
        <v>30</v>
      </c>
      <c r="D67" s="41">
        <f>G56</f>
        <v>13</v>
      </c>
      <c r="E67" s="13"/>
      <c r="F67" s="13"/>
      <c r="G67" s="13"/>
      <c r="H67" s="13"/>
      <c r="I67" s="13"/>
      <c r="J67" s="13"/>
      <c r="K67" s="13"/>
      <c r="L67" s="13"/>
    </row>
    <row r="68" spans="2:12" x14ac:dyDescent="0.2">
      <c r="B68" s="22"/>
      <c r="C68" s="41">
        <f>C40</f>
        <v>30</v>
      </c>
      <c r="D68" s="41">
        <f>C36</f>
        <v>300</v>
      </c>
      <c r="E68" s="13"/>
      <c r="F68" s="13"/>
      <c r="G68" s="13"/>
      <c r="H68" s="13"/>
      <c r="I68" s="13"/>
      <c r="J68" s="13"/>
      <c r="K68" s="13"/>
      <c r="L68" s="13"/>
    </row>
    <row r="69" spans="2:12" x14ac:dyDescent="0.2">
      <c r="B69" s="13"/>
      <c r="C69" s="25">
        <v>0</v>
      </c>
      <c r="D69" s="25">
        <f>D68</f>
        <v>300</v>
      </c>
      <c r="E69" s="13"/>
      <c r="F69" s="13"/>
      <c r="G69" s="13"/>
      <c r="H69" s="13"/>
      <c r="I69" s="13"/>
      <c r="J69" s="13"/>
      <c r="K69" s="13"/>
      <c r="L69" s="13"/>
    </row>
  </sheetData>
  <sheetProtection algorithmName="SHA-512" hashValue="ZYUxv5R0heXFnIJokzMgDg5v/0FKl44m0hqQCFbBbx/WRq5o4Q7jA4/UvRdtGFzkBOiEdp0xZwLKEk0APtzrYw==" saltValue="2dMOmw/rVBXLmwhGrw93ng==" spinCount="100000" sheet="1" objects="1" scenarios="1"/>
  <pageMargins left="0.75" right="0.75" top="1" bottom="1" header="0.5" footer="0.5"/>
  <pageSetup paperSize="10" orientation="portrait" horizontalDpi="4294967292" verticalDpi="429496729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064BC-B03D-3F4E-B8FD-56A62048A136}">
  <dimension ref="B34:L65"/>
  <sheetViews>
    <sheetView topLeftCell="A25" zoomScaleNormal="100" zoomScalePageLayoutView="70" workbookViewId="0">
      <selection activeCell="D40" sqref="D40"/>
    </sheetView>
  </sheetViews>
  <sheetFormatPr defaultColWidth="11.19921875" defaultRowHeight="15" x14ac:dyDescent="0.2"/>
  <cols>
    <col min="2" max="2" width="39.09765625" customWidth="1"/>
    <col min="5" max="5" width="5.19921875" customWidth="1"/>
    <col min="6" max="6" width="27.3984375" bestFit="1" customWidth="1"/>
    <col min="7" max="7" width="8.3984375" customWidth="1"/>
    <col min="8" max="8" width="9" customWidth="1"/>
    <col min="9" max="9" width="12" customWidth="1"/>
    <col min="10" max="10" width="12.8984375" customWidth="1"/>
  </cols>
  <sheetData>
    <row r="34" spans="2:12" x14ac:dyDescent="0.2">
      <c r="B34" s="16" t="s">
        <v>15</v>
      </c>
      <c r="C34" s="13"/>
      <c r="D34" s="13"/>
      <c r="E34" s="13"/>
      <c r="F34" s="16" t="s">
        <v>8</v>
      </c>
      <c r="G34" s="13"/>
      <c r="H34" s="13"/>
      <c r="I34" s="13"/>
      <c r="J34" s="13"/>
      <c r="K34" s="13"/>
      <c r="L34" s="13"/>
    </row>
    <row r="35" spans="2:12" x14ac:dyDescent="0.2">
      <c r="B35" s="18" t="s">
        <v>16</v>
      </c>
      <c r="C35" s="48">
        <f>C50+IF(C51&gt;C52,C51,C52)</f>
        <v>44</v>
      </c>
      <c r="D35" s="22"/>
      <c r="E35" s="13"/>
      <c r="F35" s="18" t="s">
        <v>20</v>
      </c>
      <c r="G35" s="6">
        <v>2560</v>
      </c>
      <c r="H35" s="13"/>
      <c r="I35" s="19" t="s">
        <v>24</v>
      </c>
      <c r="J35" s="20">
        <v>40</v>
      </c>
      <c r="K35" s="13"/>
      <c r="L35" s="13"/>
    </row>
    <row r="36" spans="2:12" x14ac:dyDescent="0.2">
      <c r="B36" s="18" t="s">
        <v>38</v>
      </c>
      <c r="C36" s="3">
        <v>300</v>
      </c>
      <c r="D36" s="23" t="s">
        <v>5</v>
      </c>
      <c r="E36" s="13"/>
      <c r="F36" s="18" t="s">
        <v>21</v>
      </c>
      <c r="G36" s="9">
        <v>85</v>
      </c>
      <c r="H36" s="13"/>
      <c r="I36" s="19" t="s">
        <v>23</v>
      </c>
      <c r="J36" s="20">
        <v>65</v>
      </c>
      <c r="K36" s="13"/>
      <c r="L36" s="13"/>
    </row>
    <row r="37" spans="2:12" x14ac:dyDescent="0.2">
      <c r="B37" s="18" t="s">
        <v>39</v>
      </c>
      <c r="C37" s="4">
        <v>4.5</v>
      </c>
      <c r="D37" s="24">
        <f>DEGREES(ATAN(C37/100))</f>
        <v>2.5765718302688305</v>
      </c>
      <c r="E37" s="13"/>
      <c r="F37" s="18" t="s">
        <v>22</v>
      </c>
      <c r="G37" s="9">
        <v>230</v>
      </c>
      <c r="H37" s="13"/>
      <c r="I37" s="13"/>
      <c r="J37" s="13"/>
      <c r="K37" s="13"/>
      <c r="L37" s="13"/>
    </row>
    <row r="38" spans="2:12" ht="45" x14ac:dyDescent="0.2">
      <c r="B38" s="49" t="s">
        <v>40</v>
      </c>
      <c r="C38" s="3">
        <v>700</v>
      </c>
      <c r="D38" s="22"/>
      <c r="E38" s="13"/>
      <c r="F38" s="13"/>
      <c r="G38" s="25"/>
      <c r="H38" s="20" t="s">
        <v>5</v>
      </c>
      <c r="I38" s="26" t="s">
        <v>13</v>
      </c>
      <c r="J38" s="27" t="s">
        <v>14</v>
      </c>
      <c r="K38" s="28" t="s">
        <v>6</v>
      </c>
      <c r="L38" s="13"/>
    </row>
    <row r="39" spans="2:12" x14ac:dyDescent="0.2">
      <c r="B39" s="49" t="s">
        <v>41</v>
      </c>
      <c r="C39" s="3">
        <v>100</v>
      </c>
      <c r="D39" s="22"/>
      <c r="E39" s="13"/>
      <c r="F39" s="18" t="s">
        <v>33</v>
      </c>
      <c r="G39" s="7">
        <v>6.5</v>
      </c>
      <c r="H39" s="30">
        <f>DEGREES(ATAN(G39/100))</f>
        <v>3.7189939731580433</v>
      </c>
      <c r="I39" s="31">
        <f>CONVERT((100*(J55)/G39),"ft","m")</f>
        <v>2797.5325538461539</v>
      </c>
      <c r="J39" s="32">
        <f>(J35-C43)/J35*I39</f>
        <v>2797.5325538461539</v>
      </c>
      <c r="K39" s="33">
        <f>G39/100*J35*6076/60</f>
        <v>263.29333333333335</v>
      </c>
      <c r="L39" s="13"/>
    </row>
    <row r="40" spans="2:12" ht="30" x14ac:dyDescent="0.2">
      <c r="B40" s="49" t="s">
        <v>42</v>
      </c>
      <c r="C40" s="3">
        <v>30</v>
      </c>
      <c r="D40" s="22"/>
      <c r="E40" s="13"/>
      <c r="F40" s="34" t="s">
        <v>0</v>
      </c>
      <c r="G40" s="9">
        <f>350-C43*20/3</f>
        <v>350</v>
      </c>
      <c r="H40" s="34"/>
      <c r="I40" s="13"/>
      <c r="J40" s="13"/>
      <c r="K40" s="34"/>
      <c r="L40" s="13"/>
    </row>
    <row r="41" spans="2:12" x14ac:dyDescent="0.2">
      <c r="B41" s="22"/>
      <c r="C41" s="22"/>
      <c r="D41" s="22"/>
      <c r="E41" s="13"/>
      <c r="F41" s="18" t="s">
        <v>34</v>
      </c>
      <c r="G41" s="7">
        <v>4.5</v>
      </c>
      <c r="H41" s="30">
        <f>DEGREES(ATAN(G41/100))</f>
        <v>2.5765718302688305</v>
      </c>
      <c r="I41" s="31">
        <f>CONVERT((100*(J57-J56)/G41),"ft","m")</f>
        <v>1354.6666666666665</v>
      </c>
      <c r="J41" s="32">
        <f>(J36-C43)/J36*I41</f>
        <v>1354.6666666666665</v>
      </c>
      <c r="K41" s="33">
        <f>G41/100*J36*6076/60</f>
        <v>296.20499999999998</v>
      </c>
      <c r="L41" s="13"/>
    </row>
    <row r="42" spans="2:12" x14ac:dyDescent="0.2">
      <c r="B42" s="16" t="s">
        <v>12</v>
      </c>
      <c r="C42" s="41"/>
      <c r="D42" s="22"/>
      <c r="E42" s="13"/>
      <c r="F42" s="13"/>
      <c r="G42" s="13"/>
      <c r="H42" s="13"/>
      <c r="I42" s="13"/>
      <c r="J42" s="13"/>
      <c r="K42" s="13"/>
      <c r="L42" s="13"/>
    </row>
    <row r="43" spans="2:12" x14ac:dyDescent="0.2">
      <c r="B43" s="18" t="s">
        <v>30</v>
      </c>
      <c r="C43" s="5">
        <v>0</v>
      </c>
      <c r="D43" s="22"/>
      <c r="E43" s="13"/>
      <c r="F43" s="18" t="s">
        <v>36</v>
      </c>
      <c r="G43" s="6">
        <v>155</v>
      </c>
      <c r="H43" s="13"/>
      <c r="I43" s="13"/>
      <c r="J43" s="13"/>
      <c r="K43" s="13"/>
      <c r="L43" s="13"/>
    </row>
    <row r="44" spans="2:12" x14ac:dyDescent="0.2">
      <c r="B44" s="18" t="s">
        <v>37</v>
      </c>
      <c r="C44" s="5">
        <v>3000</v>
      </c>
      <c r="D44" s="22"/>
      <c r="E44" s="13"/>
      <c r="F44" s="13"/>
      <c r="G44" s="13"/>
      <c r="H44" s="13"/>
      <c r="I44" s="13"/>
      <c r="J44" s="13"/>
      <c r="K44" s="13"/>
      <c r="L44" s="13"/>
    </row>
    <row r="45" spans="2:12" x14ac:dyDescent="0.2">
      <c r="B45" s="18" t="s">
        <v>18</v>
      </c>
      <c r="C45" s="5">
        <v>35</v>
      </c>
      <c r="D45" s="36"/>
      <c r="E45" s="37"/>
      <c r="F45" s="13"/>
      <c r="G45" s="13"/>
      <c r="H45" s="13"/>
      <c r="I45" s="13"/>
      <c r="J45" s="13"/>
      <c r="K45" s="13"/>
      <c r="L45" s="13"/>
    </row>
    <row r="46" spans="2:12" x14ac:dyDescent="0.2">
      <c r="B46" s="18" t="s">
        <v>19</v>
      </c>
      <c r="C46" s="5">
        <v>2560</v>
      </c>
      <c r="D46" s="22"/>
      <c r="E46" s="25"/>
      <c r="F46" s="13"/>
      <c r="G46" s="13"/>
      <c r="H46" s="13"/>
      <c r="I46" s="13"/>
      <c r="J46" s="13"/>
      <c r="K46" s="13"/>
      <c r="L46" s="13"/>
    </row>
    <row r="47" spans="2:12" x14ac:dyDescent="0.2">
      <c r="B47" s="22"/>
      <c r="C47" s="22"/>
      <c r="D47" s="22"/>
      <c r="E47" s="13"/>
      <c r="F47" s="13"/>
      <c r="G47" s="13"/>
      <c r="H47" s="13"/>
      <c r="I47" s="13"/>
      <c r="J47" s="13"/>
      <c r="K47" s="13"/>
      <c r="L47" s="13"/>
    </row>
    <row r="48" spans="2:12" x14ac:dyDescent="0.2">
      <c r="B48" s="22"/>
      <c r="C48" s="22"/>
      <c r="D48" s="22"/>
      <c r="E48" s="13"/>
      <c r="F48" s="13"/>
      <c r="G48" s="13"/>
      <c r="H48" s="13"/>
      <c r="I48" s="13"/>
      <c r="J48" s="13"/>
      <c r="K48" s="13"/>
      <c r="L48" s="13"/>
    </row>
    <row r="49" spans="2:12" ht="60" x14ac:dyDescent="0.2">
      <c r="B49" s="46" t="s">
        <v>47</v>
      </c>
      <c r="C49" s="22"/>
      <c r="D49" s="22"/>
      <c r="E49" s="13"/>
      <c r="F49" s="36" t="s">
        <v>26</v>
      </c>
      <c r="G49" s="36" t="s">
        <v>25</v>
      </c>
      <c r="H49" s="37" t="s">
        <v>1</v>
      </c>
      <c r="I49" s="37" t="s">
        <v>7</v>
      </c>
      <c r="J49" s="37" t="s">
        <v>3</v>
      </c>
      <c r="K49" s="37" t="s">
        <v>4</v>
      </c>
      <c r="L49" s="13"/>
    </row>
    <row r="50" spans="2:12" x14ac:dyDescent="0.2">
      <c r="B50" s="50" t="s">
        <v>48</v>
      </c>
      <c r="C50" s="48">
        <f>ROUND(CONVERT(C36*C37/100,"m","ft"),0)</f>
        <v>44</v>
      </c>
      <c r="D50" s="22"/>
      <c r="E50" s="13"/>
      <c r="F50" s="25">
        <v>0</v>
      </c>
      <c r="G50" s="25">
        <v>13</v>
      </c>
      <c r="H50" s="25">
        <v>13</v>
      </c>
      <c r="I50" s="25">
        <v>0</v>
      </c>
      <c r="J50" s="25">
        <v>0</v>
      </c>
      <c r="K50" s="25">
        <v>0</v>
      </c>
      <c r="L50" s="13"/>
    </row>
    <row r="51" spans="2:12" x14ac:dyDescent="0.2">
      <c r="B51" s="47" t="s">
        <v>49</v>
      </c>
      <c r="C51" s="48">
        <f>IF(C39 - CONVERT(C37*C38/100,"m","ft")&gt;0,C39 - CONVERT(C37*C38/100,"m","ft"),0)</f>
        <v>0</v>
      </c>
      <c r="D51" s="22"/>
      <c r="E51" s="13"/>
      <c r="F51" s="45">
        <f>IF(C40&gt;C35,C40,C35)</f>
        <v>44</v>
      </c>
      <c r="G51" s="51">
        <v>13</v>
      </c>
      <c r="H51" s="45">
        <f>G51</f>
        <v>13</v>
      </c>
      <c r="I51" s="45">
        <f t="shared" ref="I51" si="0">IF($C$35-$C$40&gt;20,$C$35+15,$C$40+35)</f>
        <v>65</v>
      </c>
      <c r="J51" s="25">
        <v>120</v>
      </c>
      <c r="K51" s="25">
        <v>0</v>
      </c>
      <c r="L51" s="13"/>
    </row>
    <row r="52" spans="2:12" x14ac:dyDescent="0.2">
      <c r="B52" s="50" t="s">
        <v>50</v>
      </c>
      <c r="C52" s="23">
        <f>IF(C40&gt;C50,ROUND(C40-C50,0),0)</f>
        <v>0</v>
      </c>
      <c r="D52" s="22"/>
      <c r="E52" s="13"/>
      <c r="F52" s="45">
        <f>F51</f>
        <v>44</v>
      </c>
      <c r="G52" s="41">
        <f>C36+G51</f>
        <v>313</v>
      </c>
      <c r="H52" s="45">
        <f>G52</f>
        <v>313</v>
      </c>
      <c r="I52" s="45">
        <f>I51</f>
        <v>65</v>
      </c>
      <c r="J52" s="25">
        <f>G43</f>
        <v>155</v>
      </c>
      <c r="K52" s="52">
        <f>J52*K51/J51</f>
        <v>0</v>
      </c>
      <c r="L52" s="13" t="s">
        <v>9</v>
      </c>
    </row>
    <row r="53" spans="2:12" x14ac:dyDescent="0.2">
      <c r="B53" s="22"/>
      <c r="C53" s="22"/>
      <c r="D53" s="22"/>
      <c r="E53" s="13"/>
      <c r="F53" s="45">
        <f>CONVERT((G53-G52)*$C$37/100,"m","ft")+F51</f>
        <v>637.59467595396734</v>
      </c>
      <c r="G53" s="45">
        <f>K57</f>
        <v>4333.6146051282049</v>
      </c>
      <c r="H53" s="45">
        <f>H52</f>
        <v>313</v>
      </c>
      <c r="I53" s="45">
        <f>F52+35</f>
        <v>79</v>
      </c>
      <c r="J53" s="25">
        <f>J52-G36</f>
        <v>70</v>
      </c>
      <c r="K53" s="40">
        <f>(J53-J54)/J55*$J$39+K54</f>
        <v>159.66153846153847</v>
      </c>
      <c r="L53" s="13" t="s">
        <v>10</v>
      </c>
    </row>
    <row r="54" spans="2:12" x14ac:dyDescent="0.2">
      <c r="B54" s="22"/>
      <c r="C54" s="22"/>
      <c r="D54" s="22"/>
      <c r="E54" s="13"/>
      <c r="F54" s="25"/>
      <c r="G54" s="25"/>
      <c r="H54" s="40">
        <f>G53</f>
        <v>4333.6146051282049</v>
      </c>
      <c r="I54" s="40">
        <f>CONVERT((H54-H52)*($C$37)/100,"m","ft")+I53</f>
        <v>672.59467595396734</v>
      </c>
      <c r="J54" s="25">
        <f>J53+15</f>
        <v>85</v>
      </c>
      <c r="K54" s="40">
        <f>G37</f>
        <v>230</v>
      </c>
      <c r="L54" s="13" t="s">
        <v>11</v>
      </c>
    </row>
    <row r="55" spans="2:12" x14ac:dyDescent="0.2">
      <c r="B55" s="22"/>
      <c r="C55" s="22"/>
      <c r="D55" s="22"/>
      <c r="E55" s="13"/>
      <c r="F55" s="25"/>
      <c r="G55" s="40"/>
      <c r="H55" s="40"/>
      <c r="I55" s="25"/>
      <c r="J55" s="40">
        <f>J53+2*K39</f>
        <v>596.5866666666667</v>
      </c>
      <c r="K55" s="40">
        <f>(J55-J54)/J56*$J$39+K54</f>
        <v>2628.9479384615383</v>
      </c>
      <c r="L55" s="22" t="s">
        <v>27</v>
      </c>
    </row>
    <row r="56" spans="2:12" ht="60" x14ac:dyDescent="0.2">
      <c r="B56" s="36"/>
      <c r="C56" s="36" t="s">
        <v>43</v>
      </c>
      <c r="D56" s="36" t="s">
        <v>44</v>
      </c>
      <c r="E56" s="13"/>
      <c r="F56" s="37"/>
      <c r="G56" s="40"/>
      <c r="H56" s="40"/>
      <c r="I56" s="25"/>
      <c r="J56" s="40">
        <f>J55</f>
        <v>596.5866666666667</v>
      </c>
      <c r="K56" s="40">
        <f>K55+G40</f>
        <v>2978.9479384615383</v>
      </c>
      <c r="L56" s="22" t="s">
        <v>28</v>
      </c>
    </row>
    <row r="57" spans="2:12" x14ac:dyDescent="0.2">
      <c r="B57" s="13"/>
      <c r="C57" s="41">
        <v>0</v>
      </c>
      <c r="D57" s="41">
        <f>C38</f>
        <v>700</v>
      </c>
      <c r="E57" s="13"/>
      <c r="F57" s="40"/>
      <c r="G57" s="25"/>
      <c r="H57" s="25"/>
      <c r="I57" s="25"/>
      <c r="J57" s="40">
        <f>J56+200</f>
        <v>796.5866666666667</v>
      </c>
      <c r="K57" s="40">
        <f>$J$41+K56</f>
        <v>4333.6146051282049</v>
      </c>
      <c r="L57" s="22" t="s">
        <v>29</v>
      </c>
    </row>
    <row r="58" spans="2:12" x14ac:dyDescent="0.2">
      <c r="B58" s="41"/>
      <c r="C58" s="41">
        <f>C39</f>
        <v>100</v>
      </c>
      <c r="D58" s="41">
        <f>C38</f>
        <v>700</v>
      </c>
      <c r="E58" s="13"/>
      <c r="F58" s="13"/>
      <c r="G58" s="13"/>
      <c r="H58" s="13"/>
      <c r="I58" s="13"/>
      <c r="J58" s="13"/>
      <c r="K58" s="13"/>
      <c r="L58" s="13"/>
    </row>
    <row r="59" spans="2:12" x14ac:dyDescent="0.2">
      <c r="B59" s="13"/>
      <c r="C59" s="22"/>
      <c r="D59" s="22"/>
      <c r="E59" s="13"/>
      <c r="F59" s="13"/>
      <c r="G59" s="13"/>
      <c r="H59" s="13"/>
      <c r="I59" s="13"/>
      <c r="J59" s="13"/>
      <c r="K59" s="13"/>
      <c r="L59" s="13"/>
    </row>
    <row r="60" spans="2:12" x14ac:dyDescent="0.2">
      <c r="B60" s="41"/>
      <c r="C60" s="22"/>
      <c r="D60" s="22"/>
      <c r="E60" s="13"/>
      <c r="F60" s="13"/>
      <c r="G60" s="13"/>
      <c r="H60" s="13"/>
      <c r="I60" s="13"/>
      <c r="J60" s="13"/>
      <c r="K60" s="13"/>
      <c r="L60" s="13"/>
    </row>
    <row r="61" spans="2:12" ht="60" x14ac:dyDescent="0.2">
      <c r="B61" s="13"/>
      <c r="C61" s="36" t="s">
        <v>45</v>
      </c>
      <c r="D61" s="36" t="s">
        <v>46</v>
      </c>
      <c r="E61" s="13"/>
      <c r="F61" s="13"/>
      <c r="G61" s="13"/>
      <c r="H61" s="13"/>
      <c r="I61" s="13"/>
      <c r="J61" s="13"/>
      <c r="K61" s="13"/>
      <c r="L61" s="13"/>
    </row>
    <row r="62" spans="2:12" x14ac:dyDescent="0.2">
      <c r="B62" s="22"/>
      <c r="C62" s="41">
        <f>C40</f>
        <v>30</v>
      </c>
      <c r="D62" s="41">
        <f>G50</f>
        <v>13</v>
      </c>
      <c r="E62" s="13"/>
      <c r="F62" s="13"/>
      <c r="G62" s="13"/>
      <c r="H62" s="13"/>
      <c r="I62" s="13"/>
      <c r="J62" s="13"/>
      <c r="K62" s="13"/>
      <c r="L62" s="13"/>
    </row>
    <row r="63" spans="2:12" x14ac:dyDescent="0.2">
      <c r="B63" s="22"/>
      <c r="C63" s="41">
        <f>C40</f>
        <v>30</v>
      </c>
      <c r="D63" s="41">
        <f>C36</f>
        <v>300</v>
      </c>
      <c r="E63" s="13"/>
      <c r="F63" s="13"/>
      <c r="G63" s="13"/>
      <c r="H63" s="13"/>
      <c r="I63" s="13"/>
      <c r="J63" s="13"/>
      <c r="K63" s="13"/>
      <c r="L63" s="13"/>
    </row>
    <row r="64" spans="2:12" x14ac:dyDescent="0.2">
      <c r="B64" s="22"/>
      <c r="C64" s="41">
        <v>0</v>
      </c>
      <c r="D64" s="41">
        <f>D63</f>
        <v>300</v>
      </c>
      <c r="E64" s="13"/>
      <c r="F64" s="13"/>
      <c r="G64" s="13"/>
      <c r="H64" s="13"/>
      <c r="I64" s="13"/>
      <c r="J64" s="13"/>
      <c r="K64" s="13"/>
      <c r="L64" s="13"/>
    </row>
    <row r="65" spans="2:6" x14ac:dyDescent="0.2">
      <c r="B65" s="2"/>
      <c r="C65" s="2"/>
      <c r="D65" s="2"/>
      <c r="F65" s="1"/>
    </row>
  </sheetData>
  <sheetProtection algorithmName="SHA-512" hashValue="oKpOGeBsRkMAxzBLsraD5sDhdodmLE+Sh4Ax/pKesjyECSm2TDfb/IrClEziVcMwnc07Z/W9nNKzE6SrFsMeqw==" saltValue="hhSYr0DxetnFKE1UVJLywg==" spinCount="100000" sheet="1" objects="1" scenarios="1"/>
  <pageMargins left="0.75" right="0.75" top="1" bottom="1" header="0.5" footer="0.5"/>
  <pageSetup paperSize="10" orientation="portrait" horizontalDpi="4294967292" verticalDpi="429496729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ECEF0-E057-054B-9590-C0BDFA59DD3B}">
  <dimension ref="B34:L65"/>
  <sheetViews>
    <sheetView topLeftCell="A28" zoomScaleNormal="100" zoomScalePageLayoutView="70" workbookViewId="0">
      <selection activeCell="D43" sqref="D43"/>
    </sheetView>
  </sheetViews>
  <sheetFormatPr defaultColWidth="11.19921875" defaultRowHeight="15" x14ac:dyDescent="0.2"/>
  <cols>
    <col min="2" max="2" width="39.19921875" customWidth="1"/>
    <col min="5" max="5" width="3.8984375" customWidth="1"/>
    <col min="6" max="6" width="27.3984375" bestFit="1" customWidth="1"/>
    <col min="7" max="7" width="8.3984375" customWidth="1"/>
    <col min="8" max="8" width="9" customWidth="1"/>
    <col min="9" max="9" width="11.8984375" bestFit="1" customWidth="1"/>
    <col min="10" max="10" width="12.8984375" customWidth="1"/>
  </cols>
  <sheetData>
    <row r="34" spans="2:12" x14ac:dyDescent="0.2">
      <c r="B34" s="16" t="s">
        <v>15</v>
      </c>
      <c r="C34" s="13"/>
      <c r="D34" s="13"/>
      <c r="E34" s="13"/>
      <c r="F34" s="16" t="s">
        <v>8</v>
      </c>
      <c r="G34" s="13"/>
      <c r="H34" s="13"/>
      <c r="I34" s="13"/>
      <c r="J34" s="13"/>
      <c r="K34" s="13"/>
      <c r="L34" s="13"/>
    </row>
    <row r="35" spans="2:12" x14ac:dyDescent="0.2">
      <c r="B35" s="18" t="s">
        <v>16</v>
      </c>
      <c r="C35" s="48">
        <f>C50+IF(C51&gt;C52,C51,C52)</f>
        <v>52.136482939632543</v>
      </c>
      <c r="D35" s="22"/>
      <c r="E35" s="13"/>
      <c r="F35" s="18" t="s">
        <v>20</v>
      </c>
      <c r="G35" s="6">
        <v>2700</v>
      </c>
      <c r="H35" s="13"/>
      <c r="I35" s="19" t="s">
        <v>24</v>
      </c>
      <c r="J35" s="20">
        <v>40</v>
      </c>
      <c r="K35" s="13"/>
      <c r="L35" s="13"/>
    </row>
    <row r="36" spans="2:12" x14ac:dyDescent="0.2">
      <c r="B36" s="18" t="s">
        <v>38</v>
      </c>
      <c r="C36" s="3">
        <v>300</v>
      </c>
      <c r="D36" s="23" t="s">
        <v>5</v>
      </c>
      <c r="E36" s="13"/>
      <c r="F36" s="18" t="s">
        <v>21</v>
      </c>
      <c r="G36" s="9">
        <v>0</v>
      </c>
      <c r="H36" s="13"/>
      <c r="I36" s="19" t="s">
        <v>23</v>
      </c>
      <c r="J36" s="20">
        <v>65</v>
      </c>
      <c r="K36" s="13"/>
      <c r="L36" s="13"/>
    </row>
    <row r="37" spans="2:12" x14ac:dyDescent="0.2">
      <c r="B37" s="18" t="s">
        <v>39</v>
      </c>
      <c r="C37" s="4">
        <v>4</v>
      </c>
      <c r="D37" s="24">
        <f>DEGREES(ATAN(C37/100))</f>
        <v>2.2906100426385296</v>
      </c>
      <c r="E37" s="13"/>
      <c r="F37" s="18" t="s">
        <v>22</v>
      </c>
      <c r="G37" s="6">
        <v>230</v>
      </c>
      <c r="H37" s="13"/>
      <c r="I37" s="13"/>
      <c r="J37" s="13"/>
      <c r="K37" s="13"/>
      <c r="L37" s="13"/>
    </row>
    <row r="38" spans="2:12" ht="45" x14ac:dyDescent="0.2">
      <c r="B38" s="49" t="s">
        <v>40</v>
      </c>
      <c r="C38" s="3">
        <v>700</v>
      </c>
      <c r="D38" s="22"/>
      <c r="E38" s="13"/>
      <c r="F38" s="13"/>
      <c r="G38" s="25"/>
      <c r="H38" s="20" t="s">
        <v>5</v>
      </c>
      <c r="I38" s="26" t="s">
        <v>13</v>
      </c>
      <c r="J38" s="27" t="s">
        <v>14</v>
      </c>
      <c r="K38" s="28" t="s">
        <v>6</v>
      </c>
      <c r="L38" s="13"/>
    </row>
    <row r="39" spans="2:12" x14ac:dyDescent="0.2">
      <c r="B39" s="49" t="s">
        <v>41</v>
      </c>
      <c r="C39" s="3">
        <v>105</v>
      </c>
      <c r="D39" s="22"/>
      <c r="E39" s="13"/>
      <c r="F39" s="18" t="s">
        <v>33</v>
      </c>
      <c r="G39" s="8">
        <v>4</v>
      </c>
      <c r="H39" s="30">
        <f>DEGREES(ATAN(G39/100))</f>
        <v>2.2906100426385296</v>
      </c>
      <c r="I39" s="31">
        <f>CONVERT((100*(J54)/G39),"ft","m")</f>
        <v>3155.0864000000001</v>
      </c>
      <c r="J39" s="32">
        <f>(J35-C44)/J35*I39</f>
        <v>3155.0864000000001</v>
      </c>
      <c r="K39" s="33">
        <f>G39/100*J35*6076/60</f>
        <v>162.02666666666667</v>
      </c>
      <c r="L39" s="13"/>
    </row>
    <row r="40" spans="2:12" ht="30" x14ac:dyDescent="0.2">
      <c r="B40" s="49" t="s">
        <v>42</v>
      </c>
      <c r="C40" s="3">
        <v>30</v>
      </c>
      <c r="D40" s="22"/>
      <c r="E40" s="13"/>
      <c r="F40" s="34" t="s">
        <v>0</v>
      </c>
      <c r="G40" s="9">
        <f>350-C44*20/3</f>
        <v>350</v>
      </c>
      <c r="H40" s="34"/>
      <c r="I40" s="13"/>
      <c r="J40" s="13"/>
      <c r="K40" s="34"/>
      <c r="L40" s="13"/>
    </row>
    <row r="41" spans="2:12" x14ac:dyDescent="0.2">
      <c r="B41" s="22"/>
      <c r="C41" s="22"/>
      <c r="D41" s="22"/>
      <c r="E41" s="13"/>
      <c r="F41" s="18" t="s">
        <v>34</v>
      </c>
      <c r="G41" s="7">
        <v>2.5</v>
      </c>
      <c r="H41" s="30">
        <f>DEGREES(ATAN(G41/100))</f>
        <v>1.4320961841646465</v>
      </c>
      <c r="I41" s="31">
        <f>CONVERT((100*(J56-J55)/G41),"ft","m")</f>
        <v>2438.3999999999992</v>
      </c>
      <c r="J41" s="32">
        <f>(J36-C44)/J36*I41</f>
        <v>2438.3999999999992</v>
      </c>
      <c r="K41" s="33">
        <f>G41/100*J36*6076/60</f>
        <v>164.55833333333334</v>
      </c>
      <c r="L41" s="13"/>
    </row>
    <row r="42" spans="2:12" x14ac:dyDescent="0.2">
      <c r="B42" s="22"/>
      <c r="C42" s="22"/>
      <c r="D42" s="22"/>
      <c r="E42" s="13"/>
      <c r="F42" s="13"/>
      <c r="G42" s="13"/>
      <c r="H42" s="13"/>
      <c r="I42" s="13"/>
      <c r="J42" s="13"/>
      <c r="K42" s="13"/>
      <c r="L42" s="13"/>
    </row>
    <row r="43" spans="2:12" x14ac:dyDescent="0.2">
      <c r="B43" s="16" t="s">
        <v>12</v>
      </c>
      <c r="C43" s="41"/>
      <c r="D43" s="22"/>
      <c r="E43" s="13"/>
      <c r="F43" s="18" t="s">
        <v>35</v>
      </c>
      <c r="G43" s="6">
        <v>90</v>
      </c>
      <c r="H43" s="13"/>
      <c r="I43" s="13"/>
      <c r="J43" s="13"/>
      <c r="K43" s="13"/>
      <c r="L43" s="13"/>
    </row>
    <row r="44" spans="2:12" x14ac:dyDescent="0.2">
      <c r="B44" s="18" t="s">
        <v>30</v>
      </c>
      <c r="C44" s="5">
        <v>0</v>
      </c>
      <c r="D44" s="22"/>
      <c r="E44" s="13"/>
      <c r="F44" s="13"/>
      <c r="G44" s="13"/>
      <c r="H44" s="13"/>
      <c r="I44" s="13"/>
      <c r="J44" s="13"/>
      <c r="K44" s="13"/>
      <c r="L44" s="13"/>
    </row>
    <row r="45" spans="2:12" x14ac:dyDescent="0.2">
      <c r="B45" s="18" t="s">
        <v>37</v>
      </c>
      <c r="C45" s="5">
        <v>3000</v>
      </c>
      <c r="D45" s="36"/>
      <c r="E45" s="37"/>
      <c r="F45" s="13"/>
      <c r="G45" s="13"/>
      <c r="H45" s="13"/>
      <c r="I45" s="13"/>
      <c r="J45" s="13"/>
      <c r="K45" s="13"/>
      <c r="L45" s="13"/>
    </row>
    <row r="46" spans="2:12" x14ac:dyDescent="0.2">
      <c r="B46" s="18" t="s">
        <v>18</v>
      </c>
      <c r="C46" s="5">
        <v>35</v>
      </c>
      <c r="D46" s="22"/>
      <c r="E46" s="25"/>
      <c r="F46" s="13"/>
      <c r="G46" s="13"/>
      <c r="H46" s="13"/>
      <c r="I46" s="13"/>
      <c r="J46" s="13"/>
      <c r="K46" s="13"/>
      <c r="L46" s="13"/>
    </row>
    <row r="47" spans="2:12" x14ac:dyDescent="0.2">
      <c r="B47" s="18" t="s">
        <v>19</v>
      </c>
      <c r="C47" s="5">
        <v>2560</v>
      </c>
      <c r="D47" s="22"/>
      <c r="E47" s="13"/>
      <c r="F47" s="13"/>
      <c r="G47" s="13"/>
      <c r="H47" s="13"/>
      <c r="I47" s="13"/>
      <c r="J47" s="13"/>
      <c r="K47" s="13"/>
      <c r="L47" s="13"/>
    </row>
    <row r="48" spans="2:12" x14ac:dyDescent="0.2">
      <c r="B48" s="22"/>
      <c r="C48" s="22"/>
      <c r="D48" s="22"/>
      <c r="E48" s="13"/>
      <c r="F48" s="13"/>
      <c r="G48" s="13"/>
      <c r="H48" s="13"/>
      <c r="I48" s="13"/>
      <c r="J48" s="13"/>
      <c r="K48" s="13"/>
      <c r="L48" s="13"/>
    </row>
    <row r="49" spans="2:12" ht="60" x14ac:dyDescent="0.2">
      <c r="B49" s="46" t="s">
        <v>47</v>
      </c>
      <c r="C49" s="22"/>
      <c r="D49" s="22"/>
      <c r="E49" s="13"/>
      <c r="F49" s="36" t="s">
        <v>26</v>
      </c>
      <c r="G49" s="36" t="s">
        <v>25</v>
      </c>
      <c r="H49" s="37" t="s">
        <v>1</v>
      </c>
      <c r="I49" s="37" t="s">
        <v>7</v>
      </c>
      <c r="J49" s="37" t="s">
        <v>3</v>
      </c>
      <c r="K49" s="37" t="s">
        <v>4</v>
      </c>
      <c r="L49" s="13"/>
    </row>
    <row r="50" spans="2:12" x14ac:dyDescent="0.2">
      <c r="B50" s="50" t="s">
        <v>48</v>
      </c>
      <c r="C50" s="48">
        <f>ROUND(CONVERT(C36*C37/100,"m","ft"),0)</f>
        <v>39</v>
      </c>
      <c r="D50" s="22"/>
      <c r="E50" s="13"/>
      <c r="F50" s="25">
        <v>0</v>
      </c>
      <c r="G50" s="25">
        <v>13</v>
      </c>
      <c r="H50" s="25">
        <v>13</v>
      </c>
      <c r="I50" s="25">
        <v>0</v>
      </c>
      <c r="J50" s="25">
        <v>0</v>
      </c>
      <c r="K50" s="25">
        <v>0</v>
      </c>
      <c r="L50" s="13"/>
    </row>
    <row r="51" spans="2:12" x14ac:dyDescent="0.2">
      <c r="B51" s="47" t="s">
        <v>49</v>
      </c>
      <c r="C51" s="48">
        <f>IF(C39 - CONVERT(C37*C38/100,"m","ft")&gt;0,C39 - CONVERT(C37*C38/100,"m","ft"),0)</f>
        <v>13.136482939632543</v>
      </c>
      <c r="D51" s="22"/>
      <c r="E51" s="13"/>
      <c r="F51" s="45">
        <f>IF(C40&gt;C35,C40,C35)</f>
        <v>52.136482939632543</v>
      </c>
      <c r="G51" s="51">
        <v>13</v>
      </c>
      <c r="H51" s="45">
        <f>G51</f>
        <v>13</v>
      </c>
      <c r="I51" s="45">
        <f t="shared" ref="I51" si="0">IF($C$35-$C$40&gt;20,$C$35+15,$C$40+35)</f>
        <v>67.136482939632543</v>
      </c>
      <c r="J51" s="25">
        <f>J52</f>
        <v>90</v>
      </c>
      <c r="K51" s="25">
        <v>0</v>
      </c>
      <c r="L51" s="13" t="s">
        <v>9</v>
      </c>
    </row>
    <row r="52" spans="2:12" x14ac:dyDescent="0.2">
      <c r="B52" s="50" t="s">
        <v>50</v>
      </c>
      <c r="C52" s="23">
        <f>IF(C40&gt;C50,ROUND(C40-C50,0),0)</f>
        <v>0</v>
      </c>
      <c r="D52" s="22"/>
      <c r="E52" s="13"/>
      <c r="F52" s="45">
        <f>F51</f>
        <v>52.136482939632543</v>
      </c>
      <c r="G52" s="41">
        <f>C36+G51</f>
        <v>313</v>
      </c>
      <c r="H52" s="45">
        <f>G52</f>
        <v>313</v>
      </c>
      <c r="I52" s="45">
        <f>I51</f>
        <v>67.136482939632543</v>
      </c>
      <c r="J52" s="25">
        <f>G43</f>
        <v>90</v>
      </c>
      <c r="K52" s="52">
        <f>J52*K51/J51</f>
        <v>0</v>
      </c>
      <c r="L52" s="13" t="s">
        <v>10</v>
      </c>
    </row>
    <row r="53" spans="2:12" x14ac:dyDescent="0.2">
      <c r="B53" s="22"/>
      <c r="C53" s="22"/>
      <c r="D53" s="22"/>
      <c r="E53" s="13"/>
      <c r="F53" s="45">
        <f>CONVERT((G53-G52)*$C$37/100,"m","ft")+F51</f>
        <v>731.22918635170595</v>
      </c>
      <c r="G53" s="45">
        <f>K56</f>
        <v>5487.6863999999996</v>
      </c>
      <c r="H53" s="45">
        <f>H52</f>
        <v>313</v>
      </c>
      <c r="I53" s="45">
        <f>F52+35</f>
        <v>87.136482939632543</v>
      </c>
      <c r="J53" s="25">
        <f>J52-G36</f>
        <v>90</v>
      </c>
      <c r="K53" s="40">
        <f>G37</f>
        <v>230</v>
      </c>
      <c r="L53" s="13" t="s">
        <v>11</v>
      </c>
    </row>
    <row r="54" spans="2:12" x14ac:dyDescent="0.2">
      <c r="B54" s="22"/>
      <c r="C54" s="22"/>
      <c r="D54" s="22"/>
      <c r="E54" s="13"/>
      <c r="F54" s="25"/>
      <c r="G54" s="25"/>
      <c r="H54" s="40">
        <f>K56</f>
        <v>5487.6863999999996</v>
      </c>
      <c r="I54" s="40">
        <f>CONVERT((H54-H52)*($C$37)/100,"m","ft")+I53</f>
        <v>766.22918635170595</v>
      </c>
      <c r="J54" s="40">
        <f>J52+2*K39</f>
        <v>414.05333333333334</v>
      </c>
      <c r="K54" s="40">
        <f>(J54-J53)/J55*$J$39+K53</f>
        <v>2699.2864000000004</v>
      </c>
      <c r="L54" s="22" t="s">
        <v>27</v>
      </c>
    </row>
    <row r="55" spans="2:12" x14ac:dyDescent="0.2">
      <c r="B55" s="22"/>
      <c r="C55" s="22"/>
      <c r="D55" s="22"/>
      <c r="E55" s="13"/>
      <c r="F55" s="25"/>
      <c r="G55" s="40"/>
      <c r="H55" s="40"/>
      <c r="I55" s="25"/>
      <c r="J55" s="40">
        <f>J54</f>
        <v>414.05333333333334</v>
      </c>
      <c r="K55" s="40">
        <f>K54+G40</f>
        <v>3049.2864000000004</v>
      </c>
      <c r="L55" s="22" t="s">
        <v>28</v>
      </c>
    </row>
    <row r="56" spans="2:12" ht="60" x14ac:dyDescent="0.2">
      <c r="B56" s="36"/>
      <c r="C56" s="36" t="s">
        <v>43</v>
      </c>
      <c r="D56" s="36" t="s">
        <v>44</v>
      </c>
      <c r="E56" s="13"/>
      <c r="F56" s="37"/>
      <c r="G56" s="40"/>
      <c r="H56" s="40"/>
      <c r="I56" s="25"/>
      <c r="J56" s="40">
        <f>J55+200</f>
        <v>614.05333333333328</v>
      </c>
      <c r="K56" s="40">
        <f>$J$41+K55</f>
        <v>5487.6863999999996</v>
      </c>
      <c r="L56" s="22" t="s">
        <v>29</v>
      </c>
    </row>
    <row r="57" spans="2:12" x14ac:dyDescent="0.2">
      <c r="B57" s="13"/>
      <c r="C57" s="41">
        <v>0</v>
      </c>
      <c r="D57" s="41">
        <f>C38</f>
        <v>700</v>
      </c>
      <c r="E57" s="13"/>
      <c r="F57" s="44"/>
      <c r="G57" s="13"/>
      <c r="H57" s="13"/>
      <c r="I57" s="13"/>
      <c r="J57" s="13"/>
      <c r="K57" s="13"/>
      <c r="L57" s="13"/>
    </row>
    <row r="58" spans="2:12" x14ac:dyDescent="0.2">
      <c r="B58" s="41"/>
      <c r="C58" s="41">
        <f>C39</f>
        <v>105</v>
      </c>
      <c r="D58" s="41">
        <f>C38</f>
        <v>700</v>
      </c>
      <c r="E58" s="13"/>
      <c r="F58" s="13"/>
      <c r="G58" s="13"/>
      <c r="H58" s="13"/>
      <c r="I58" s="13"/>
      <c r="J58" s="13"/>
      <c r="K58" s="13"/>
      <c r="L58" s="13"/>
    </row>
    <row r="59" spans="2:12" x14ac:dyDescent="0.2">
      <c r="B59" s="13"/>
      <c r="C59" s="22"/>
      <c r="D59" s="22"/>
      <c r="E59" s="13"/>
      <c r="F59" s="13"/>
      <c r="G59" s="13"/>
      <c r="H59" s="13"/>
      <c r="I59" s="13"/>
      <c r="J59" s="13"/>
      <c r="K59" s="13"/>
      <c r="L59" s="13"/>
    </row>
    <row r="60" spans="2:12" x14ac:dyDescent="0.2">
      <c r="B60" s="41"/>
      <c r="C60" s="22"/>
      <c r="D60" s="22"/>
      <c r="E60" s="13"/>
      <c r="F60" s="13"/>
      <c r="G60" s="13"/>
      <c r="H60" s="13"/>
      <c r="I60" s="13"/>
      <c r="J60" s="13"/>
      <c r="K60" s="13"/>
      <c r="L60" s="13"/>
    </row>
    <row r="61" spans="2:12" ht="60" x14ac:dyDescent="0.2">
      <c r="B61" s="13"/>
      <c r="C61" s="36" t="s">
        <v>45</v>
      </c>
      <c r="D61" s="36" t="s">
        <v>46</v>
      </c>
      <c r="E61" s="13"/>
      <c r="F61" s="13"/>
      <c r="G61" s="13"/>
      <c r="H61" s="13"/>
      <c r="I61" s="13"/>
      <c r="J61" s="13"/>
      <c r="K61" s="13"/>
      <c r="L61" s="13"/>
    </row>
    <row r="62" spans="2:12" x14ac:dyDescent="0.2">
      <c r="B62" s="13"/>
      <c r="C62" s="41">
        <f>C40</f>
        <v>30</v>
      </c>
      <c r="D62" s="41">
        <f>G50</f>
        <v>13</v>
      </c>
      <c r="E62" s="13"/>
      <c r="F62" s="13"/>
      <c r="G62" s="13"/>
      <c r="H62" s="13"/>
      <c r="I62" s="13"/>
      <c r="J62" s="13"/>
      <c r="K62" s="13"/>
      <c r="L62" s="13"/>
    </row>
    <row r="63" spans="2:12" x14ac:dyDescent="0.2">
      <c r="B63" s="22"/>
      <c r="C63" s="41">
        <f>C40</f>
        <v>30</v>
      </c>
      <c r="D63" s="41">
        <f>C36</f>
        <v>300</v>
      </c>
      <c r="E63" s="13"/>
      <c r="F63" s="13"/>
      <c r="G63" s="13"/>
      <c r="H63" s="13"/>
      <c r="I63" s="13"/>
      <c r="J63" s="13"/>
      <c r="K63" s="13"/>
      <c r="L63" s="13"/>
    </row>
    <row r="64" spans="2:12" x14ac:dyDescent="0.2">
      <c r="B64" s="13"/>
      <c r="C64" s="25">
        <v>0</v>
      </c>
      <c r="D64" s="25">
        <f>D63</f>
        <v>300</v>
      </c>
      <c r="E64" s="13"/>
      <c r="F64" s="13"/>
      <c r="G64" s="13"/>
      <c r="H64" s="13"/>
      <c r="I64" s="13"/>
      <c r="J64" s="13"/>
      <c r="K64" s="13"/>
      <c r="L64" s="13"/>
    </row>
    <row r="65" spans="6:6" x14ac:dyDescent="0.2">
      <c r="F65" s="1"/>
    </row>
  </sheetData>
  <sheetProtection algorithmName="SHA-512" hashValue="81WxR/RneWYuIUtbbD4QVXcLYjbUFaLQA3/0vBlSG/bHzJYzbaUslDXkoR5GYev97c6CnJ4fJZ0gv9oTF3J54w==" saltValue="bs06tl9Z0+MJ8BVk+s9cvw==" spinCount="100000" sheet="1" objects="1" scenarios="1"/>
  <pageMargins left="0.75" right="0.75" top="1" bottom="1" header="0.5" footer="0.5"/>
  <pageSetup paperSize="10" orientation="portrait" horizontalDpi="4294967292" verticalDpi="429496729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D5AE6-F937-184D-9AEC-A7DE960672CA}">
  <dimension ref="B34:L65"/>
  <sheetViews>
    <sheetView topLeftCell="A22" zoomScaleNormal="100" zoomScalePageLayoutView="70" workbookViewId="0">
      <selection activeCell="D39" sqref="D39"/>
    </sheetView>
  </sheetViews>
  <sheetFormatPr defaultColWidth="11.19921875" defaultRowHeight="15" x14ac:dyDescent="0.2"/>
  <cols>
    <col min="1" max="1" width="11.19921875" style="13"/>
    <col min="2" max="2" width="39.19921875" style="13" customWidth="1"/>
    <col min="3" max="4" width="11.19921875" style="13"/>
    <col min="5" max="5" width="3.8984375" style="13" customWidth="1"/>
    <col min="6" max="6" width="27.3984375" style="13" bestFit="1" customWidth="1"/>
    <col min="7" max="7" width="8.3984375" style="13" customWidth="1"/>
    <col min="8" max="8" width="9" style="13" customWidth="1"/>
    <col min="9" max="9" width="11.8984375" style="13" bestFit="1" customWidth="1"/>
    <col min="10" max="10" width="12.8984375" style="13" customWidth="1"/>
    <col min="11" max="16384" width="11.19921875" style="13"/>
  </cols>
  <sheetData>
    <row r="34" spans="2:11" x14ac:dyDescent="0.2">
      <c r="B34" s="14" t="s">
        <v>53</v>
      </c>
      <c r="C34" s="15"/>
      <c r="F34" s="16" t="s">
        <v>8</v>
      </c>
    </row>
    <row r="35" spans="2:11" x14ac:dyDescent="0.2">
      <c r="B35" s="17" t="s">
        <v>56</v>
      </c>
      <c r="C35" s="10">
        <v>600</v>
      </c>
      <c r="F35" s="18" t="s">
        <v>20</v>
      </c>
      <c r="G35" s="6">
        <v>2950</v>
      </c>
      <c r="I35" s="19" t="s">
        <v>24</v>
      </c>
      <c r="J35" s="20">
        <v>40</v>
      </c>
    </row>
    <row r="36" spans="2:11" x14ac:dyDescent="0.2">
      <c r="B36" s="18" t="s">
        <v>55</v>
      </c>
      <c r="C36" s="33">
        <f>C50</f>
        <v>28.346456692913385</v>
      </c>
      <c r="D36" s="22"/>
      <c r="I36" s="19" t="s">
        <v>23</v>
      </c>
      <c r="J36" s="20">
        <v>65</v>
      </c>
    </row>
    <row r="37" spans="2:11" x14ac:dyDescent="0.2">
      <c r="B37" s="17" t="s">
        <v>57</v>
      </c>
      <c r="C37" s="10">
        <v>700</v>
      </c>
      <c r="D37" s="23" t="s">
        <v>5</v>
      </c>
      <c r="F37" s="18" t="s">
        <v>22</v>
      </c>
      <c r="G37" s="6">
        <v>210</v>
      </c>
    </row>
    <row r="38" spans="2:11" ht="45" x14ac:dyDescent="0.2">
      <c r="B38" s="17" t="s">
        <v>39</v>
      </c>
      <c r="C38" s="11">
        <v>2.2000000000000002</v>
      </c>
      <c r="D38" s="24">
        <f>DEGREES(ATAN(C38/100))</f>
        <v>1.2603038465035898</v>
      </c>
      <c r="G38" s="25"/>
      <c r="H38" s="20" t="s">
        <v>5</v>
      </c>
      <c r="I38" s="26" t="s">
        <v>13</v>
      </c>
      <c r="J38" s="27" t="s">
        <v>14</v>
      </c>
      <c r="K38" s="28" t="s">
        <v>6</v>
      </c>
    </row>
    <row r="39" spans="2:11" ht="30" x14ac:dyDescent="0.2">
      <c r="B39" s="29" t="s">
        <v>58</v>
      </c>
      <c r="C39" s="10">
        <v>300</v>
      </c>
      <c r="D39" s="22"/>
      <c r="F39" s="18" t="s">
        <v>33</v>
      </c>
      <c r="G39" s="8">
        <v>2.5</v>
      </c>
      <c r="H39" s="30">
        <f>DEGREES(ATAN(G39/100))</f>
        <v>1.4320961841646465</v>
      </c>
      <c r="I39" s="31">
        <f>CONVERT((100*(J52)/G39),"ft","m")</f>
        <v>2896.0063999999998</v>
      </c>
      <c r="J39" s="32">
        <f>(J35-C44)/J35*I39</f>
        <v>2896.0063999999998</v>
      </c>
      <c r="K39" s="33">
        <f>G39/100*J35*6076/60</f>
        <v>101.26666666666667</v>
      </c>
    </row>
    <row r="40" spans="2:11" x14ac:dyDescent="0.2">
      <c r="B40" s="29" t="s">
        <v>41</v>
      </c>
      <c r="C40" s="10">
        <v>50</v>
      </c>
      <c r="D40" s="22"/>
      <c r="F40" s="34" t="s">
        <v>0</v>
      </c>
      <c r="G40" s="9">
        <f>350-C44*20/3</f>
        <v>350</v>
      </c>
      <c r="H40" s="34"/>
      <c r="K40" s="34"/>
    </row>
    <row r="41" spans="2:11" x14ac:dyDescent="0.2">
      <c r="B41" s="15"/>
      <c r="C41" s="15"/>
      <c r="D41" s="22"/>
      <c r="F41" s="18" t="s">
        <v>34</v>
      </c>
      <c r="G41" s="7">
        <v>2.5</v>
      </c>
      <c r="H41" s="30">
        <f>DEGREES(ATAN(G41/100))</f>
        <v>1.4320961841646465</v>
      </c>
      <c r="I41" s="31">
        <f>CONVERT((100*(J54-J53)/G41),"ft","m")</f>
        <v>2438.3999999999996</v>
      </c>
      <c r="J41" s="32">
        <f>(J36-C44)/J36*I41</f>
        <v>2438.3999999999996</v>
      </c>
      <c r="K41" s="33">
        <f>G41/100*J36*6076/60</f>
        <v>164.55833333333334</v>
      </c>
    </row>
    <row r="42" spans="2:11" x14ac:dyDescent="0.2">
      <c r="B42" s="15"/>
      <c r="C42" s="15"/>
      <c r="D42" s="22"/>
    </row>
    <row r="43" spans="2:11" x14ac:dyDescent="0.2">
      <c r="B43" s="14" t="s">
        <v>12</v>
      </c>
      <c r="C43" s="35"/>
      <c r="D43" s="22"/>
    </row>
    <row r="44" spans="2:11" x14ac:dyDescent="0.2">
      <c r="B44" s="17" t="s">
        <v>30</v>
      </c>
      <c r="C44" s="12">
        <v>0</v>
      </c>
      <c r="D44" s="22"/>
    </row>
    <row r="45" spans="2:11" x14ac:dyDescent="0.2">
      <c r="B45" s="17" t="s">
        <v>37</v>
      </c>
      <c r="C45" s="12">
        <v>2000</v>
      </c>
      <c r="D45" s="36"/>
      <c r="E45" s="37"/>
    </row>
    <row r="46" spans="2:11" x14ac:dyDescent="0.2">
      <c r="B46" s="17" t="s">
        <v>18</v>
      </c>
      <c r="C46" s="12">
        <v>30</v>
      </c>
      <c r="D46" s="22"/>
      <c r="E46" s="25"/>
    </row>
    <row r="47" spans="2:11" x14ac:dyDescent="0.2">
      <c r="B47" s="17" t="s">
        <v>51</v>
      </c>
      <c r="C47" s="12">
        <v>2950</v>
      </c>
      <c r="D47" s="22"/>
    </row>
    <row r="48" spans="2:11" x14ac:dyDescent="0.2">
      <c r="B48" s="22"/>
      <c r="C48" s="22"/>
      <c r="D48" s="22"/>
    </row>
    <row r="49" spans="2:12" ht="60" x14ac:dyDescent="0.2">
      <c r="B49" s="46" t="s">
        <v>47</v>
      </c>
      <c r="C49" s="22"/>
      <c r="F49" s="36" t="s">
        <v>26</v>
      </c>
      <c r="G49" s="36" t="s">
        <v>25</v>
      </c>
      <c r="H49" s="37" t="s">
        <v>1</v>
      </c>
      <c r="I49" s="37" t="s">
        <v>7</v>
      </c>
      <c r="J49" s="37" t="s">
        <v>3</v>
      </c>
      <c r="K49" s="37" t="s">
        <v>4</v>
      </c>
    </row>
    <row r="50" spans="2:12" x14ac:dyDescent="0.2">
      <c r="B50" s="47" t="s">
        <v>49</v>
      </c>
      <c r="C50" s="21">
        <f>IF(C40 - CONVERT(C38*C39/100,"m","ft")&gt;0,C40 - CONVERT(C38*C39/100,"m","ft"),0)</f>
        <v>28.346456692913385</v>
      </c>
      <c r="F50" s="35">
        <v>0</v>
      </c>
      <c r="G50" s="35">
        <f>G37</f>
        <v>210</v>
      </c>
      <c r="H50" s="35">
        <f>G50</f>
        <v>210</v>
      </c>
      <c r="I50" s="35">
        <v>0</v>
      </c>
      <c r="J50" s="35">
        <v>0</v>
      </c>
      <c r="K50" s="35">
        <v>0</v>
      </c>
    </row>
    <row r="51" spans="2:12" x14ac:dyDescent="0.2">
      <c r="F51" s="40">
        <v>0</v>
      </c>
      <c r="G51" s="25">
        <f>C37</f>
        <v>700</v>
      </c>
      <c r="H51" s="25">
        <f>H50</f>
        <v>210</v>
      </c>
      <c r="I51" s="40">
        <v>35</v>
      </c>
      <c r="J51" s="35">
        <v>35</v>
      </c>
      <c r="K51" s="39">
        <f>G37</f>
        <v>210</v>
      </c>
      <c r="L51" s="13" t="s">
        <v>11</v>
      </c>
    </row>
    <row r="52" spans="2:12" x14ac:dyDescent="0.2">
      <c r="F52" s="39">
        <f>C50</f>
        <v>28.346456692913385</v>
      </c>
      <c r="G52" s="35">
        <f>C37</f>
        <v>700</v>
      </c>
      <c r="H52" s="25">
        <f>C37</f>
        <v>700</v>
      </c>
      <c r="I52" s="45">
        <f>I51</f>
        <v>35</v>
      </c>
      <c r="J52" s="39">
        <f>J51+2*K39</f>
        <v>237.53333333333333</v>
      </c>
      <c r="K52" s="39">
        <f>(J52-J51)/J53*$J$39+K51</f>
        <v>2679.2864</v>
      </c>
      <c r="L52" s="22" t="s">
        <v>27</v>
      </c>
    </row>
    <row r="53" spans="2:12" x14ac:dyDescent="0.2">
      <c r="B53" s="22"/>
      <c r="F53" s="39">
        <f>CONVERT((G53-G52)*$C$38/100,"m","ft")+F52</f>
        <v>372.4708031496063</v>
      </c>
      <c r="G53" s="39">
        <f>K54</f>
        <v>5467.6863999999996</v>
      </c>
      <c r="H53" s="39">
        <f>G52</f>
        <v>700</v>
      </c>
      <c r="I53" s="39">
        <f>F52+35</f>
        <v>63.346456692913385</v>
      </c>
      <c r="J53" s="39">
        <f>J52</f>
        <v>237.53333333333333</v>
      </c>
      <c r="K53" s="39">
        <f>K52+G40</f>
        <v>3029.2864</v>
      </c>
      <c r="L53" s="22" t="s">
        <v>28</v>
      </c>
    </row>
    <row r="54" spans="2:12" x14ac:dyDescent="0.2">
      <c r="B54" s="22"/>
      <c r="H54" s="39">
        <f>K54</f>
        <v>5467.6863999999996</v>
      </c>
      <c r="I54" s="39">
        <f>CONVERT((H54-H53)*($C$38)/100,"m","ft")+I53</f>
        <v>407.4708031496063</v>
      </c>
      <c r="J54" s="39">
        <f>J53+200</f>
        <v>437.5333333333333</v>
      </c>
      <c r="K54" s="39">
        <f>$J$41+K53</f>
        <v>5467.6863999999996</v>
      </c>
      <c r="L54" s="22" t="s">
        <v>29</v>
      </c>
    </row>
    <row r="55" spans="2:12" x14ac:dyDescent="0.2">
      <c r="B55" s="22"/>
      <c r="F55" s="25"/>
      <c r="G55" s="40"/>
      <c r="H55" s="40"/>
      <c r="I55" s="25"/>
    </row>
    <row r="56" spans="2:12" ht="60" x14ac:dyDescent="0.2">
      <c r="B56" s="36"/>
      <c r="C56" s="38" t="s">
        <v>43</v>
      </c>
      <c r="D56" s="38" t="s">
        <v>44</v>
      </c>
      <c r="H56" s="40"/>
      <c r="I56" s="25"/>
    </row>
    <row r="57" spans="2:12" x14ac:dyDescent="0.2">
      <c r="C57" s="35">
        <v>0</v>
      </c>
      <c r="D57" s="35">
        <f>C37+C39</f>
        <v>1000</v>
      </c>
    </row>
    <row r="58" spans="2:12" x14ac:dyDescent="0.2">
      <c r="B58" s="41"/>
      <c r="C58" s="35">
        <f>C40</f>
        <v>50</v>
      </c>
      <c r="D58" s="35">
        <f>D57</f>
        <v>1000</v>
      </c>
    </row>
    <row r="59" spans="2:12" x14ac:dyDescent="0.2">
      <c r="C59" s="15"/>
      <c r="D59" s="15"/>
    </row>
    <row r="60" spans="2:12" x14ac:dyDescent="0.2">
      <c r="B60" s="41"/>
      <c r="C60" s="15"/>
      <c r="D60" s="15"/>
    </row>
    <row r="61" spans="2:12" ht="30" x14ac:dyDescent="0.2">
      <c r="C61" s="38" t="s">
        <v>52</v>
      </c>
      <c r="D61" s="39" t="s">
        <v>54</v>
      </c>
    </row>
    <row r="62" spans="2:12" x14ac:dyDescent="0.2">
      <c r="C62" s="39">
        <v>0</v>
      </c>
      <c r="D62" s="35">
        <v>0</v>
      </c>
    </row>
    <row r="63" spans="2:12" x14ac:dyDescent="0.2">
      <c r="B63" s="22"/>
      <c r="C63" s="35">
        <v>0</v>
      </c>
      <c r="D63" s="35">
        <f>C35</f>
        <v>600</v>
      </c>
    </row>
    <row r="64" spans="2:12" x14ac:dyDescent="0.2">
      <c r="C64" s="42"/>
      <c r="D64" s="43"/>
    </row>
    <row r="65" spans="6:6" x14ac:dyDescent="0.2">
      <c r="F65" s="44"/>
    </row>
  </sheetData>
  <sheetProtection algorithmName="SHA-512" hashValue="8nqNo0GGwnzNGr9gBqX7pOdCSUr6d9Iulhu8hrKCjPRuXlMhUdnEYMHTYBUi1/1p4IrcyLoBOyNprIQNq3XG5A==" saltValue="tH/yKRcoY6MOaQ1R/ATORg==" spinCount="100000" sheet="1" objects="1" scenarios="1"/>
  <pageMargins left="0.75" right="0.75" top="1" bottom="1" header="0.5" footer="0.5"/>
  <pageSetup paperSize="10" orientation="portrait" horizontalDpi="4294967292" verticalDpi="429496729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11.19921875" defaultRowHeight="15" x14ac:dyDescent="0.2"/>
  <sheetData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VTOL(1) PC1 &amp; PC2</vt:lpstr>
      <vt:lpstr>Vertical PC2WE &lt;CAT A</vt:lpstr>
      <vt:lpstr>Vertical PC2WE &gt;CAT A</vt:lpstr>
      <vt:lpstr>Clear Heliport PC1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Nest</dc:creator>
  <cp:lastModifiedBy>Rosenberg, Tony</cp:lastModifiedBy>
  <cp:lastPrinted>2013-08-18T02:50:21Z</cp:lastPrinted>
  <dcterms:created xsi:type="dcterms:W3CDTF">2013-07-27T22:34:03Z</dcterms:created>
  <dcterms:modified xsi:type="dcterms:W3CDTF">2021-03-16T03:07:19Z</dcterms:modified>
</cp:coreProperties>
</file>