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osenberg_a\Documents\Offline Records (CA)\Final as published - AC 133-01 v2.0\"/>
    </mc:Choice>
  </mc:AlternateContent>
  <xr:revisionPtr revIDLastSave="0" documentId="13_ncr:1_{E64C990D-7FAD-4CD4-912A-4144F13469AD}" xr6:coauthVersionLast="46" xr6:coauthVersionMax="46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VTOL PC1 &amp; PC2" sheetId="22" r:id="rId1"/>
    <sheet name="Vertical PC2WE &lt;CAT A" sheetId="24" r:id="rId2"/>
    <sheet name="Vertical PC2WE &gt;CAT A" sheetId="23" r:id="rId3"/>
    <sheet name="Clear Heliport PC1" sheetId="25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52" i="25" l="1"/>
  <c r="H52" i="25"/>
  <c r="G52" i="25"/>
  <c r="H53" i="25" s="1"/>
  <c r="G51" i="25"/>
  <c r="G50" i="25"/>
  <c r="H50" i="25" s="1"/>
  <c r="H51" i="25" s="1"/>
  <c r="D63" i="25" l="1"/>
  <c r="C58" i="25"/>
  <c r="D57" i="25"/>
  <c r="D58" i="25" s="1"/>
  <c r="K51" i="25"/>
  <c r="C50" i="25"/>
  <c r="F52" i="25" s="1"/>
  <c r="I53" i="25" s="1"/>
  <c r="K41" i="25"/>
  <c r="H41" i="25"/>
  <c r="K39" i="25"/>
  <c r="J52" i="25" s="1"/>
  <c r="H39" i="25"/>
  <c r="D38" i="25"/>
  <c r="C36" i="25" l="1"/>
  <c r="I39" i="25"/>
  <c r="J39" i="25" s="1"/>
  <c r="K52" i="25" s="1"/>
  <c r="K53" i="25" s="1"/>
  <c r="J53" i="25"/>
  <c r="J54" i="25" s="1"/>
  <c r="I41" i="25" s="1"/>
  <c r="J41" i="25" s="1"/>
  <c r="D64" i="23"/>
  <c r="D63" i="23"/>
  <c r="C63" i="23"/>
  <c r="D62" i="23"/>
  <c r="C62" i="23"/>
  <c r="C50" i="23"/>
  <c r="C52" i="23" s="1"/>
  <c r="D58" i="23"/>
  <c r="C58" i="23"/>
  <c r="D57" i="23"/>
  <c r="C51" i="23"/>
  <c r="D63" i="24"/>
  <c r="D64" i="24" s="1"/>
  <c r="C63" i="24"/>
  <c r="D62" i="24"/>
  <c r="C62" i="24"/>
  <c r="C50" i="24"/>
  <c r="C52" i="24" s="1"/>
  <c r="D58" i="24"/>
  <c r="C58" i="24"/>
  <c r="D57" i="24"/>
  <c r="C51" i="24"/>
  <c r="D69" i="22"/>
  <c r="D70" i="22" s="1"/>
  <c r="C69" i="22"/>
  <c r="D68" i="22"/>
  <c r="C68" i="22"/>
  <c r="C50" i="22"/>
  <c r="C52" i="22" s="1"/>
  <c r="D64" i="22"/>
  <c r="C64" i="22"/>
  <c r="D63" i="22"/>
  <c r="C51" i="22"/>
  <c r="K54" i="25" l="1"/>
  <c r="C35" i="24"/>
  <c r="F51" i="24" s="1"/>
  <c r="F52" i="24" s="1"/>
  <c r="I53" i="24" s="1"/>
  <c r="H51" i="23"/>
  <c r="H51" i="24"/>
  <c r="H57" i="22"/>
  <c r="H54" i="25" l="1"/>
  <c r="I54" i="25" s="1"/>
  <c r="G53" i="25"/>
  <c r="F53" i="25" s="1"/>
  <c r="C35" i="23"/>
  <c r="I51" i="23" s="1"/>
  <c r="I52" i="23" s="1"/>
  <c r="C35" i="22"/>
  <c r="F57" i="22" s="1"/>
  <c r="F58" i="22" s="1"/>
  <c r="I59" i="22" s="1"/>
  <c r="I51" i="24"/>
  <c r="I52" i="24" s="1"/>
  <c r="F51" i="23" l="1"/>
  <c r="F52" i="23" s="1"/>
  <c r="I53" i="23" s="1"/>
  <c r="I57" i="22"/>
  <c r="I58" i="22" s="1"/>
  <c r="K58" i="22" l="1"/>
  <c r="D58" i="22" s="1"/>
  <c r="J60" i="22"/>
  <c r="G37" i="22"/>
  <c r="G36" i="22"/>
  <c r="D57" i="22"/>
  <c r="C57" i="22"/>
  <c r="K41" i="24" l="1"/>
  <c r="K39" i="24"/>
  <c r="K41" i="23"/>
  <c r="K39" i="23"/>
  <c r="K60" i="22" l="1"/>
  <c r="J58" i="22"/>
  <c r="C58" i="22" s="1"/>
  <c r="G52" i="23" l="1"/>
  <c r="H52" i="23" s="1"/>
  <c r="H53" i="23" s="1"/>
  <c r="G52" i="24"/>
  <c r="H52" i="24" s="1"/>
  <c r="H53" i="24" s="1"/>
  <c r="G58" i="22" l="1"/>
  <c r="H58" i="22" s="1"/>
  <c r="H59" i="22" s="1"/>
  <c r="K41" i="22" l="1"/>
  <c r="K39" i="22"/>
  <c r="J51" i="24" l="1"/>
  <c r="H41" i="24"/>
  <c r="H39" i="24"/>
  <c r="D37" i="24"/>
  <c r="J51" i="23"/>
  <c r="K52" i="23"/>
  <c r="H41" i="23"/>
  <c r="H39" i="23"/>
  <c r="D37" i="23"/>
  <c r="H41" i="22"/>
  <c r="H39" i="22"/>
  <c r="D37" i="22"/>
  <c r="J52" i="23" l="1"/>
  <c r="J53" i="23"/>
  <c r="J54" i="23" s="1"/>
  <c r="J55" i="23" s="1"/>
  <c r="I41" i="23" s="1"/>
  <c r="J41" i="23" s="1"/>
  <c r="J52" i="24"/>
  <c r="J54" i="24" s="1"/>
  <c r="J55" i="24" s="1"/>
  <c r="J56" i="24" s="1"/>
  <c r="K53" i="24"/>
  <c r="J59" i="22"/>
  <c r="I39" i="23" l="1"/>
  <c r="J39" i="23" s="1"/>
  <c r="K53" i="23" s="1"/>
  <c r="K54" i="23" s="1"/>
  <c r="J61" i="22"/>
  <c r="J62" i="22" s="1"/>
  <c r="J63" i="22" s="1"/>
  <c r="I41" i="22" s="1"/>
  <c r="J41" i="22" s="1"/>
  <c r="J53" i="24"/>
  <c r="I39" i="22" l="1"/>
  <c r="J39" i="22" s="1"/>
  <c r="K59" i="22" s="1"/>
  <c r="I39" i="24"/>
  <c r="J39" i="24" s="1"/>
  <c r="I41" i="24"/>
  <c r="J41" i="24" s="1"/>
  <c r="K55" i="23"/>
  <c r="G53" i="23" s="1"/>
  <c r="H54" i="23" s="1"/>
  <c r="I54" i="23" s="1"/>
  <c r="K61" i="22" l="1"/>
  <c r="K62" i="22" s="1"/>
  <c r="K63" i="22" s="1"/>
  <c r="K54" i="24"/>
  <c r="K55" i="24" s="1"/>
  <c r="K56" i="24" s="1"/>
  <c r="G53" i="24" s="1"/>
  <c r="H54" i="24" s="1"/>
  <c r="I54" i="24" s="1"/>
  <c r="K52" i="24"/>
  <c r="F53" i="23"/>
  <c r="F53" i="24" l="1"/>
  <c r="G59" i="22"/>
  <c r="H60" i="22" s="1"/>
  <c r="I60" i="22" s="1"/>
  <c r="F59" i="22" l="1"/>
</calcChain>
</file>

<file path=xl/sharedStrings.xml><?xml version="1.0" encoding="utf-8"?>
<sst xmlns="http://schemas.openxmlformats.org/spreadsheetml/2006/main" count="182" uniqueCount="63">
  <si>
    <t>Minimum Flight Path Distances</t>
    <phoneticPr fontId="2" type="noConversion"/>
  </si>
  <si>
    <t>Backup Obstacle Free Dist</t>
    <phoneticPr fontId="2" type="noConversion"/>
  </si>
  <si>
    <t>Flight Path Height</t>
    <phoneticPr fontId="2" type="noConversion"/>
  </si>
  <si>
    <t>Flight Path Dist</t>
    <phoneticPr fontId="2" type="noConversion"/>
  </si>
  <si>
    <t>Degrees</t>
    <phoneticPr fontId="2" type="noConversion"/>
  </si>
  <si>
    <t>Rate of Climb (fpm)</t>
  </si>
  <si>
    <t>Minimum Flight Path Heights</t>
    <phoneticPr fontId="2" type="noConversion"/>
  </si>
  <si>
    <t>Aircraft:</t>
    <phoneticPr fontId="2" type="noConversion"/>
  </si>
  <si>
    <t>Back-up distance</t>
    <phoneticPr fontId="2" type="noConversion"/>
  </si>
  <si>
    <t>Distance to min dip</t>
    <phoneticPr fontId="2" type="noConversion"/>
  </si>
  <si>
    <t>Distance to 35ft Vtoss climb</t>
    <phoneticPr fontId="2" type="noConversion"/>
  </si>
  <si>
    <t>Environment:</t>
    <phoneticPr fontId="2" type="noConversion"/>
  </si>
  <si>
    <t>Nil Wind Dist (m):</t>
    <phoneticPr fontId="2" type="noConversion"/>
  </si>
  <si>
    <t>Wind Corrected Distance (m):</t>
    <phoneticPr fontId="2" type="noConversion"/>
  </si>
  <si>
    <t>Elevation of Virtual Clearway (ft):</t>
  </si>
  <si>
    <t>Temperature (deg C):</t>
  </si>
  <si>
    <t>Take-off Weight (kg)</t>
  </si>
  <si>
    <t>Height Loss from TDP (ft):</t>
  </si>
  <si>
    <t>Take-Off Distance Required (m):</t>
  </si>
  <si>
    <t>Vy (KIAS):</t>
  </si>
  <si>
    <t>Vtoss (KIAS):</t>
  </si>
  <si>
    <t>OLS Distances</t>
  </si>
  <si>
    <t>OLS Heights</t>
  </si>
  <si>
    <t>Segment One</t>
  </si>
  <si>
    <t>Acceleration</t>
  </si>
  <si>
    <t>Segment Two</t>
  </si>
  <si>
    <t>Factored Headwind Component (kts):</t>
  </si>
  <si>
    <t>Planned TDP (ft):</t>
  </si>
  <si>
    <t>Backup Obstacle Free Height</t>
  </si>
  <si>
    <t>Distance to Vtoss climb</t>
  </si>
  <si>
    <t>Segment 1 Climb 0 to 200ft (%)</t>
  </si>
  <si>
    <t>Segment 2 Climb 200-1000ft(%)</t>
  </si>
  <si>
    <t>Helipad(26x26m):</t>
  </si>
  <si>
    <t>VTOL CAT A WAT Limit (kg):</t>
  </si>
  <si>
    <t>TDP Height</t>
  </si>
  <si>
    <t>Rearward take-off Dist</t>
  </si>
  <si>
    <t>Minimum Height</t>
  </si>
  <si>
    <t>Height at end of take-off distance</t>
  </si>
  <si>
    <t>Maximum take-off distance</t>
  </si>
  <si>
    <t>Planned Rotate Point (max. 150ft):</t>
  </si>
  <si>
    <t>Planned RP (Max 130ft):</t>
  </si>
  <si>
    <t>Heliport Elevation (ft):</t>
  </si>
  <si>
    <t>Length of Virtual Clearway (m):</t>
  </si>
  <si>
    <t>Obstacle-free OLS Gradient (%):</t>
  </si>
  <si>
    <t>Distance of OLS obstacle from safety area (m)</t>
  </si>
  <si>
    <t>Height of OLS obstacle above heliport (ft)</t>
  </si>
  <si>
    <t>Height of clearway obstacle above heliport (ft)</t>
  </si>
  <si>
    <t>OLS Obstacle Height (ft)</t>
  </si>
  <si>
    <t>OLS Obstacle Distance (m)</t>
  </si>
  <si>
    <t>Clearway Obstacle Height (ft)</t>
  </si>
  <si>
    <t>Clearway Obstacle Distance (m)</t>
  </si>
  <si>
    <t>Establishing Height of Virtual Clearway:</t>
  </si>
  <si>
    <t>Lowest elevation of basic clearway (ft):</t>
  </si>
  <si>
    <t>Penetration of obstacle in basic OLS (ft):</t>
  </si>
  <si>
    <t>Penetration of obstacle in basic clearway (ft):</t>
  </si>
  <si>
    <t>Clear Heliport:</t>
  </si>
  <si>
    <t>Distance of OLS obstacle from end of TODA (m)</t>
  </si>
  <si>
    <t>Clear Heliport CAT A WAT Limit (kg):</t>
  </si>
  <si>
    <t>RTODA (ASDA)</t>
  </si>
  <si>
    <t>Distance</t>
  </si>
  <si>
    <t>RTODAR (ASDA) (ft):</t>
  </si>
  <si>
    <t>Elevation of OLS Origin (ft):</t>
  </si>
  <si>
    <t>TODAR (m):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</si>
</sst>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name val="Verdana"/>
    </font>
    <font>
      <b/>
      <sz val="12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2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1" fontId="0" fillId="0" borderId="0" xfId="0" applyNumberFormat="1"/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3" fillId="0" borderId="0" xfId="1"/>
    <xf numFmtId="0" fontId="4" fillId="3" borderId="1" xfId="1" applyFont="1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/>
      <protection locked="0"/>
    </xf>
    <xf numFmtId="164" fontId="4" fillId="3" borderId="1" xfId="1" applyNumberFormat="1" applyFont="1" applyFill="1" applyBorder="1" applyAlignment="1" applyProtection="1">
      <alignment horizontal="center"/>
      <protection locked="0"/>
    </xf>
    <xf numFmtId="164" fontId="3" fillId="2" borderId="2" xfId="1" applyNumberFormat="1" applyFill="1" applyBorder="1" applyAlignment="1" applyProtection="1">
      <alignment horizontal="center"/>
      <protection locked="0"/>
    </xf>
    <xf numFmtId="0" fontId="4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center"/>
      <protection locked="0"/>
    </xf>
    <xf numFmtId="1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" fontId="3" fillId="0" borderId="0" xfId="1" applyNumberFormat="1"/>
    <xf numFmtId="0" fontId="1" fillId="0" borderId="0" xfId="0" applyFont="1" applyProtection="1"/>
    <xf numFmtId="0" fontId="0" fillId="0" borderId="0" xfId="0" applyProtection="1"/>
    <xf numFmtId="0" fontId="3" fillId="0" borderId="1" xfId="0" applyFont="1" applyBorder="1" applyProtection="1"/>
    <xf numFmtId="1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3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1" fontId="0" fillId="0" borderId="3" xfId="0" applyNumberFormat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1" fontId="0" fillId="0" borderId="2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1" fillId="0" borderId="4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1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1" fontId="0" fillId="0" borderId="0" xfId="0" applyNumberFormat="1" applyProtection="1"/>
    <xf numFmtId="0" fontId="0" fillId="0" borderId="1" xfId="0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5" fillId="0" borderId="0" xfId="1" applyFont="1" applyProtection="1"/>
    <xf numFmtId="0" fontId="4" fillId="0" borderId="0" xfId="1" applyFont="1" applyProtection="1"/>
    <xf numFmtId="0" fontId="3" fillId="0" borderId="0" xfId="1" applyProtection="1"/>
    <xf numFmtId="0" fontId="1" fillId="0" borderId="0" xfId="1" applyFont="1" applyProtection="1"/>
    <xf numFmtId="0" fontId="4" fillId="0" borderId="1" xfId="0" applyFont="1" applyBorder="1" applyProtection="1"/>
    <xf numFmtId="0" fontId="3" fillId="0" borderId="1" xfId="1" applyBorder="1" applyProtection="1"/>
    <xf numFmtId="0" fontId="3" fillId="0" borderId="1" xfId="1" applyBorder="1" applyAlignment="1" applyProtection="1">
      <alignment horizontal="right"/>
    </xf>
    <xf numFmtId="0" fontId="3" fillId="0" borderId="1" xfId="1" applyBorder="1" applyAlignment="1" applyProtection="1">
      <alignment horizontal="center"/>
    </xf>
    <xf numFmtId="1" fontId="3" fillId="0" borderId="1" xfId="1" applyNumberFormat="1" applyBorder="1" applyAlignment="1" applyProtection="1">
      <alignment horizontal="center"/>
    </xf>
    <xf numFmtId="0" fontId="4" fillId="0" borderId="1" xfId="1" applyFont="1" applyBorder="1" applyProtection="1"/>
    <xf numFmtId="2" fontId="3" fillId="0" borderId="1" xfId="1" applyNumberFormat="1" applyBorder="1" applyAlignment="1" applyProtection="1">
      <alignment horizontal="center"/>
    </xf>
    <xf numFmtId="0" fontId="3" fillId="0" borderId="0" xfId="1" applyAlignment="1" applyProtection="1">
      <alignment horizontal="center"/>
    </xf>
    <xf numFmtId="0" fontId="3" fillId="0" borderId="3" xfId="1" applyBorder="1" applyAlignment="1" applyProtection="1">
      <alignment horizontal="center" wrapText="1"/>
    </xf>
    <xf numFmtId="0" fontId="3" fillId="0" borderId="1" xfId="1" applyBorder="1" applyAlignment="1" applyProtection="1">
      <alignment horizontal="center" wrapText="1"/>
    </xf>
    <xf numFmtId="0" fontId="4" fillId="0" borderId="1" xfId="1" applyFont="1" applyBorder="1" applyAlignment="1" applyProtection="1">
      <alignment wrapText="1"/>
    </xf>
    <xf numFmtId="1" fontId="3" fillId="0" borderId="3" xfId="1" applyNumberFormat="1" applyBorder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3" fillId="0" borderId="0" xfId="1" applyAlignment="1" applyProtection="1">
      <alignment horizontal="center" wrapText="1"/>
    </xf>
    <xf numFmtId="0" fontId="1" fillId="0" borderId="4" xfId="1" applyFont="1" applyBorder="1" applyAlignment="1" applyProtection="1">
      <alignment horizontal="left" wrapText="1"/>
    </xf>
    <xf numFmtId="0" fontId="3" fillId="0" borderId="1" xfId="1" applyBorder="1" applyAlignment="1" applyProtection="1">
      <alignment horizontal="left" wrapText="1"/>
    </xf>
    <xf numFmtId="1" fontId="4" fillId="0" borderId="1" xfId="1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" fontId="4" fillId="0" borderId="0" xfId="1" applyNumberFormat="1" applyFont="1" applyAlignment="1" applyProtection="1">
      <alignment horizontal="center"/>
    </xf>
    <xf numFmtId="1" fontId="4" fillId="0" borderId="0" xfId="0" applyNumberFormat="1" applyFont="1" applyAlignment="1" applyProtection="1">
      <alignment horizontal="center"/>
    </xf>
    <xf numFmtId="1" fontId="3" fillId="0" borderId="0" xfId="1" applyNumberFormat="1" applyAlignment="1" applyProtection="1">
      <alignment horizontal="center"/>
    </xf>
    <xf numFmtId="0" fontId="4" fillId="0" borderId="0" xfId="1" applyFont="1" applyAlignment="1" applyProtection="1">
      <alignment horizontal="center" wrapText="1"/>
    </xf>
  </cellXfs>
  <cellStyles count="2">
    <cellStyle name="Normal" xfId="0" builtinId="0"/>
    <cellStyle name="Normal 2" xfId="1" xr:uid="{E7465789-1517-6148-80FF-526D75AF1781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u="sng"/>
              <a:t>BK117 B2 VTOL PC1 &amp; PC2 Take-Off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Backup Obstacle Free Zone</c:v>
          </c:tx>
          <c:spPr>
            <a:ln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'VTOL PC1 &amp; PC2'!$D$56:$D$58</c:f>
              <c:numCache>
                <c:formatCode>General</c:formatCode>
                <c:ptCount val="3"/>
                <c:pt idx="0">
                  <c:v>-20</c:v>
                </c:pt>
                <c:pt idx="1">
                  <c:v>-80</c:v>
                </c:pt>
                <c:pt idx="2" formatCode="0">
                  <c:v>-110</c:v>
                </c:pt>
              </c:numCache>
            </c:numRef>
          </c:xVal>
          <c:yVal>
            <c:numRef>
              <c:f>'VTOL PC1 &amp; PC2'!$C$56:$C$58</c:f>
              <c:numCache>
                <c:formatCode>General</c:formatCode>
                <c:ptCount val="3"/>
                <c:pt idx="0">
                  <c:v>0</c:v>
                </c:pt>
                <c:pt idx="1">
                  <c:v>70</c:v>
                </c:pt>
                <c:pt idx="2">
                  <c:v>130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D-2548-88B8-1EE6069B0130}"/>
            </c:ext>
          </c:extLst>
        </c:ser>
        <c:ser>
          <c:idx val="2"/>
          <c:order val="1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6E-6749-A035-7C768781A41A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76E-6749-A035-7C768781A41A}"/>
              </c:ext>
            </c:extLst>
          </c:dPt>
          <c:xVal>
            <c:numRef>
              <c:f>'VTOL PC1 &amp; PC2'!$K$56:$K$63</c:f>
              <c:numCache>
                <c:formatCode>General</c:formatCode>
                <c:ptCount val="8"/>
                <c:pt idx="0">
                  <c:v>0</c:v>
                </c:pt>
                <c:pt idx="1">
                  <c:v>-80</c:v>
                </c:pt>
                <c:pt idx="2" formatCode="0">
                  <c:v>-110</c:v>
                </c:pt>
                <c:pt idx="3" formatCode="0">
                  <c:v>-19.550000000000011</c:v>
                </c:pt>
                <c:pt idx="4" formatCode="0">
                  <c:v>190</c:v>
                </c:pt>
                <c:pt idx="5" formatCode="0">
                  <c:v>3067.058</c:v>
                </c:pt>
                <c:pt idx="6" formatCode="0">
                  <c:v>3067.058</c:v>
                </c:pt>
                <c:pt idx="7" formatCode="0">
                  <c:v>4083.0579999999995</c:v>
                </c:pt>
              </c:numCache>
            </c:numRef>
          </c:xVal>
          <c:yVal>
            <c:numRef>
              <c:f>'VTOL PC1 &amp; PC2'!$J$56:$J$63</c:f>
              <c:numCache>
                <c:formatCode>General</c:formatCode>
                <c:ptCount val="8"/>
                <c:pt idx="0">
                  <c:v>0</c:v>
                </c:pt>
                <c:pt idx="1">
                  <c:v>140</c:v>
                </c:pt>
                <c:pt idx="2">
                  <c:v>200</c:v>
                </c:pt>
                <c:pt idx="3">
                  <c:v>95</c:v>
                </c:pt>
                <c:pt idx="4">
                  <c:v>150</c:v>
                </c:pt>
                <c:pt idx="5" formatCode="0">
                  <c:v>905.13333333333333</c:v>
                </c:pt>
                <c:pt idx="6" formatCode="0">
                  <c:v>905.13333333333333</c:v>
                </c:pt>
                <c:pt idx="7" formatCode="0">
                  <c:v>1105.1333333333332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CD-2548-88B8-1EE6069B0130}"/>
            </c:ext>
          </c:extLst>
        </c:ser>
        <c:ser>
          <c:idx val="3"/>
          <c:order val="2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'VTOL PC1 &amp; PC2'!$G$56:$G$60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4083.0579999999995</c:v>
                </c:pt>
              </c:numCache>
            </c:numRef>
          </c:xVal>
          <c:yVal>
            <c:numRef>
              <c:f>'VTOL PC1 &amp; PC2'!$F$56:$F$59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601.66604330708651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CD-2548-88B8-1EE6069B0130}"/>
            </c:ext>
          </c:extLst>
        </c:ser>
        <c:ser>
          <c:idx val="4"/>
          <c:order val="3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'VTOL PC1 &amp; PC2'!$H$56:$H$61</c:f>
              <c:numCache>
                <c:formatCode>0</c:formatCode>
                <c:ptCount val="6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4083.0579999999995</c:v>
                </c:pt>
              </c:numCache>
            </c:numRef>
          </c:xVal>
          <c:yVal>
            <c:numRef>
              <c:f>'VTOL PC1 &amp; PC2'!$I$56:$I$61</c:f>
              <c:numCache>
                <c:formatCode>0</c:formatCode>
                <c:ptCount val="6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636.66604330708651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CD-2548-88B8-1EE6069B0130}"/>
            </c:ext>
          </c:extLst>
        </c:ser>
        <c:ser>
          <c:idx val="1"/>
          <c:order val="4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'VTOL PC1 &amp; PC2'!$D$63:$D$64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'VTOL PC1 &amp; PC2'!$C$63:$C$64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43-5442-A1AE-14AB8DC3D491}"/>
            </c:ext>
          </c:extLst>
        </c:ser>
        <c:ser>
          <c:idx val="5"/>
          <c:order val="5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'VTOL PC1 &amp; PC2'!$D$68:$D$70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'VTOL PC1 &amp; PC2'!$C$68:$C$70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10-2242-8371-4D684D84B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BK117 Vertical PC2WE Take-Off (&lt;CAT A) - DPATO at RP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B3A-9B4D-BBED-8AAD097BBC7A}"/>
              </c:ext>
            </c:extLst>
          </c:dPt>
          <c:dPt>
            <c:idx val="2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B3A-9B4D-BBED-8AAD097BBC7A}"/>
              </c:ext>
            </c:extLst>
          </c:dPt>
          <c:xVal>
            <c:numRef>
              <c:f>'Vertical PC2WE &lt;CAT A'!$K$50:$K$56</c:f>
              <c:numCache>
                <c:formatCode>0</c:formatCode>
                <c:ptCount val="7"/>
                <c:pt idx="0" formatCode="General">
                  <c:v>0</c:v>
                </c:pt>
                <c:pt idx="1">
                  <c:v>0</c:v>
                </c:pt>
                <c:pt idx="2">
                  <c:v>143.80000000000001</c:v>
                </c:pt>
                <c:pt idx="3">
                  <c:v>220</c:v>
                </c:pt>
                <c:pt idx="4">
                  <c:v>3230.4079999999999</c:v>
                </c:pt>
                <c:pt idx="5">
                  <c:v>3230.4079999999999</c:v>
                </c:pt>
                <c:pt idx="6">
                  <c:v>4246.4079999999994</c:v>
                </c:pt>
              </c:numCache>
            </c:numRef>
          </c:xVal>
          <c:yVal>
            <c:numRef>
              <c:f>'Vertical PC2WE &lt;CAT A'!$J$50:$J$56</c:f>
              <c:numCache>
                <c:formatCode>General</c:formatCode>
                <c:ptCount val="7"/>
                <c:pt idx="0">
                  <c:v>0</c:v>
                </c:pt>
                <c:pt idx="1">
                  <c:v>150</c:v>
                </c:pt>
                <c:pt idx="2">
                  <c:v>45</c:v>
                </c:pt>
                <c:pt idx="3">
                  <c:v>65</c:v>
                </c:pt>
                <c:pt idx="4" formatCode="0">
                  <c:v>855.13333333333333</c:v>
                </c:pt>
                <c:pt idx="5" formatCode="0">
                  <c:v>855.13333333333333</c:v>
                </c:pt>
                <c:pt idx="6" formatCode="0">
                  <c:v>1055.1333333333332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85-DE40-B4CE-D7F48B9F8353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&lt;CAT A'!$G$50:$G$54</c:f>
              <c:numCache>
                <c:formatCode>General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4246.4079999999994</c:v>
                </c:pt>
              </c:numCache>
            </c:numRef>
          </c:xVal>
          <c:yVal>
            <c:numRef>
              <c:f>'Vertical PC2WE &lt;CAT A'!$F$50:$F$54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625.78267716535413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85-DE40-B4CE-D7F48B9F8353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&lt;CAT A'!$H$50:$H$54</c:f>
              <c:numCache>
                <c:formatCode>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4246.4079999999994</c:v>
                </c:pt>
              </c:numCache>
            </c:numRef>
          </c:xVal>
          <c:yVal>
            <c:numRef>
              <c:f>'Vertical PC2WE &lt;CAT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660.78267716535413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85-DE40-B4CE-D7F48B9F8353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&lt;CAT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&lt;CAT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AC-C64F-9844-C7616103325F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&lt;CAT A'!$D$62:$D$64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'Vertical PC2WE &lt;CAT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37B-414E-A553-CDEDB5236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BK117 Vertical PC2WE Take-Off (&gt;CAT A) - DPATO at Vtoss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54D-4046-A9CF-A5E6594E38E2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BCF-C842-B138-D6128B067A92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4D-4046-A9CF-A5E6594E38E2}"/>
              </c:ext>
            </c:extLst>
          </c:dPt>
          <c:xVal>
            <c:numRef>
              <c:f>'Vertical PC2WE &gt;CAT A'!$K$50:$K$55</c:f>
              <c:numCache>
                <c:formatCode>0</c:formatCode>
                <c:ptCount val="6"/>
                <c:pt idx="0" formatCode="General">
                  <c:v>0</c:v>
                </c:pt>
                <c:pt idx="1">
                  <c:v>0</c:v>
                </c:pt>
                <c:pt idx="2">
                  <c:v>250</c:v>
                </c:pt>
                <c:pt idx="3">
                  <c:v>3336.6079999999997</c:v>
                </c:pt>
                <c:pt idx="4">
                  <c:v>3336.6079999999997</c:v>
                </c:pt>
                <c:pt idx="5">
                  <c:v>5368.6080000000002</c:v>
                </c:pt>
              </c:numCache>
            </c:numRef>
          </c:xVal>
          <c:yVal>
            <c:numRef>
              <c:f>'Vertical PC2WE &gt;CAT A'!$J$50:$J$55</c:f>
              <c:numCache>
                <c:formatCode>General</c:formatCode>
                <c:ptCount val="6"/>
                <c:pt idx="0">
                  <c:v>0</c:v>
                </c:pt>
                <c:pt idx="1">
                  <c:v>130</c:v>
                </c:pt>
                <c:pt idx="2">
                  <c:v>130</c:v>
                </c:pt>
                <c:pt idx="3" formatCode="0">
                  <c:v>636.33333333333326</c:v>
                </c:pt>
                <c:pt idx="4" formatCode="0">
                  <c:v>636.33333333333326</c:v>
                </c:pt>
                <c:pt idx="5" formatCode="0">
                  <c:v>836.33333333333326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C-B146-B144-9D2E3DA4D26C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&gt;CAT A'!$G$50:$G$53</c:f>
              <c:numCache>
                <c:formatCode>General</c:formatCode>
                <c:ptCount val="4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 formatCode="0">
                  <c:v>5368.6080000000002</c:v>
                </c:pt>
              </c:numCache>
            </c:numRef>
          </c:xVal>
          <c:yVal>
            <c:numRef>
              <c:f>'Vertical PC2WE &gt;CAT A'!$F$50:$F$53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45.653543307086608</c:v>
                </c:pt>
                <c:pt idx="2">
                  <c:v>45.653543307086608</c:v>
                </c:pt>
                <c:pt idx="3">
                  <c:v>791.46181102362198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C-B146-B144-9D2E3DA4D26C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&gt;CAT A'!$H$50:$H$54</c:f>
              <c:numCache>
                <c:formatCode>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317</c:v>
                </c:pt>
                <c:pt idx="3">
                  <c:v>317</c:v>
                </c:pt>
                <c:pt idx="4">
                  <c:v>5368.6080000000002</c:v>
                </c:pt>
              </c:numCache>
            </c:numRef>
          </c:xVal>
          <c:yVal>
            <c:numRef>
              <c:f>'Vertical PC2WE &gt;CAT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80.653543307086608</c:v>
                </c:pt>
                <c:pt idx="4">
                  <c:v>826.46181102362198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C-B146-B144-9D2E3DA4D26C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&gt;CAT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&gt;CAT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69-764D-8C0F-A57D31DB07AA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&gt;CAT A'!$D$62:$D$64</c:f>
              <c:numCache>
                <c:formatCode>General</c:formatCode>
                <c:ptCount val="3"/>
                <c:pt idx="0">
                  <c:v>17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'Vertical PC2WE &gt;CAT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23-AE44-B5E0-772BEE0D8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BK117 B2 Clear Heliport PC1 Take-Off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44D-C045-B71B-3B69F339D0FE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44D-C045-B71B-3B69F339D0FE}"/>
              </c:ext>
            </c:extLst>
          </c:dPt>
          <c:xVal>
            <c:numRef>
              <c:f>'Clear Heliport PC1'!$K$50:$K$54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260</c:v>
                </c:pt>
                <c:pt idx="2">
                  <c:v>3346.6080000000011</c:v>
                </c:pt>
                <c:pt idx="3">
                  <c:v>3346.6080000000011</c:v>
                </c:pt>
                <c:pt idx="4">
                  <c:v>5785.0080000000016</c:v>
                </c:pt>
              </c:numCache>
            </c:numRef>
          </c:xVal>
          <c:yVal>
            <c:numRef>
              <c:f>'Clear Heliport PC1'!$J$50:$J$54</c:f>
              <c:numCache>
                <c:formatCode>General</c:formatCode>
                <c:ptCount val="5"/>
                <c:pt idx="0">
                  <c:v>0</c:v>
                </c:pt>
                <c:pt idx="1">
                  <c:v>35</c:v>
                </c:pt>
                <c:pt idx="2" formatCode="0">
                  <c:v>389.43333333333339</c:v>
                </c:pt>
                <c:pt idx="3" formatCode="0">
                  <c:v>389.43333333333339</c:v>
                </c:pt>
                <c:pt idx="4" formatCode="0">
                  <c:v>589.43333333333339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4D-C045-B71B-3B69F339D0FE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'Clear Heliport PC1'!$G$50:$G$53</c:f>
              <c:numCache>
                <c:formatCode>General</c:formatCode>
                <c:ptCount val="4"/>
                <c:pt idx="0">
                  <c:v>260</c:v>
                </c:pt>
                <c:pt idx="1">
                  <c:v>700</c:v>
                </c:pt>
                <c:pt idx="2">
                  <c:v>700</c:v>
                </c:pt>
                <c:pt idx="3" formatCode="0">
                  <c:v>5785.0080000000016</c:v>
                </c:pt>
              </c:numCache>
            </c:numRef>
          </c:xVal>
          <c:yVal>
            <c:numRef>
              <c:f>'Clear Heliport PC1'!$F$50:$F$53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45.393700787401571</c:v>
                </c:pt>
                <c:pt idx="3">
                  <c:v>462.471128608924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4D-C045-B71B-3B69F339D0FE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'Clear Heliport PC1'!$H$50:$H$54</c:f>
              <c:numCache>
                <c:formatCode>General</c:formatCode>
                <c:ptCount val="5"/>
                <c:pt idx="0">
                  <c:v>260</c:v>
                </c:pt>
                <c:pt idx="1">
                  <c:v>260</c:v>
                </c:pt>
                <c:pt idx="2">
                  <c:v>700</c:v>
                </c:pt>
                <c:pt idx="3" formatCode="0">
                  <c:v>700</c:v>
                </c:pt>
                <c:pt idx="4" formatCode="0">
                  <c:v>5785.0080000000016</c:v>
                </c:pt>
              </c:numCache>
            </c:numRef>
          </c:xVal>
          <c:yVal>
            <c:numRef>
              <c:f>'Clear Heliport PC1'!$I$50:$I$54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80.393700787401571</c:v>
                </c:pt>
                <c:pt idx="4">
                  <c:v>497.471128608924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4D-C045-B71B-3B69F339D0FE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'Clear Heliport PC1'!$D$57:$D$58</c:f>
              <c:numCache>
                <c:formatCode>General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xVal>
          <c:yVal>
            <c:numRef>
              <c:f>'Clear Heliport PC1'!$C$57:$C$58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4D-C045-B71B-3B69F339D0FE}"/>
            </c:ext>
          </c:extLst>
        </c:ser>
        <c:ser>
          <c:idx val="1"/>
          <c:order val="4"/>
          <c:tx>
            <c:v>Runway</c:v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'Clear Heliport PC1'!$D$62:$D$63</c:f>
              <c:numCache>
                <c:formatCode>General</c:formatCode>
                <c:ptCount val="2"/>
                <c:pt idx="0">
                  <c:v>0</c:v>
                </c:pt>
                <c:pt idx="1">
                  <c:v>600</c:v>
                </c:pt>
              </c:numCache>
            </c:numRef>
          </c:xVal>
          <c:yVal>
            <c:numRef>
              <c:f>'Clear Heliport PC1'!$C$62:$C$63</c:f>
              <c:numCache>
                <c:formatCode>General</c:formatCode>
                <c:ptCount val="2"/>
                <c:pt idx="0" formatCode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4D-C045-B71B-3B69F339D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8F0043-59F0-A74A-BB4F-D513CACF7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AF7F-8889-4343-9171-2B2674E2C1D9}">
  <dimension ref="B34:L76"/>
  <sheetViews>
    <sheetView topLeftCell="A8" zoomScale="70" zoomScaleNormal="70" zoomScalePageLayoutView="70" workbookViewId="0">
      <selection activeCell="F37" sqref="F37"/>
    </sheetView>
  </sheetViews>
  <sheetFormatPr defaultColWidth="11.19921875" defaultRowHeight="15" x14ac:dyDescent="0.2"/>
  <cols>
    <col min="2" max="2" width="36.19921875" customWidth="1"/>
    <col min="5" max="5" width="8.3984375" customWidth="1"/>
    <col min="6" max="6" width="26.8984375" customWidth="1"/>
    <col min="7" max="7" width="8.3984375" customWidth="1"/>
    <col min="8" max="8" width="9" customWidth="1"/>
    <col min="9" max="9" width="11.8984375" customWidth="1"/>
    <col min="10" max="10" width="12.8984375" customWidth="1"/>
  </cols>
  <sheetData>
    <row r="34" spans="2:12" x14ac:dyDescent="0.2">
      <c r="B34" s="16" t="s">
        <v>32</v>
      </c>
      <c r="C34" s="17"/>
      <c r="D34" s="17"/>
      <c r="E34" s="17"/>
      <c r="F34" s="16" t="s">
        <v>7</v>
      </c>
      <c r="G34" s="17"/>
      <c r="H34" s="17"/>
      <c r="I34" s="17"/>
      <c r="J34" s="17"/>
      <c r="K34" s="17"/>
      <c r="L34" s="17"/>
    </row>
    <row r="35" spans="2:12" x14ac:dyDescent="0.2">
      <c r="B35" s="18" t="s">
        <v>14</v>
      </c>
      <c r="C35" s="19">
        <f>C50+IF(C51&gt;C52,C51,C52)</f>
        <v>45.653543307086608</v>
      </c>
      <c r="D35" s="17"/>
      <c r="E35" s="17"/>
      <c r="F35" s="18" t="s">
        <v>16</v>
      </c>
      <c r="G35" s="4">
        <v>2870</v>
      </c>
      <c r="H35" s="17"/>
      <c r="I35" s="20" t="s">
        <v>20</v>
      </c>
      <c r="J35" s="21">
        <v>50</v>
      </c>
      <c r="K35" s="17"/>
      <c r="L35" s="17"/>
    </row>
    <row r="36" spans="2:12" x14ac:dyDescent="0.2">
      <c r="B36" s="18" t="s">
        <v>42</v>
      </c>
      <c r="C36" s="2">
        <v>300</v>
      </c>
      <c r="D36" s="21" t="s">
        <v>4</v>
      </c>
      <c r="E36" s="17"/>
      <c r="F36" s="18" t="s">
        <v>17</v>
      </c>
      <c r="G36" s="21">
        <f>G43-VLOOKUP(G43,G68:K76,3)</f>
        <v>105</v>
      </c>
      <c r="H36" s="17"/>
      <c r="I36" s="20" t="s">
        <v>19</v>
      </c>
      <c r="J36" s="21">
        <v>65</v>
      </c>
      <c r="K36" s="17"/>
      <c r="L36" s="17"/>
    </row>
    <row r="37" spans="2:12" x14ac:dyDescent="0.2">
      <c r="B37" s="18" t="s">
        <v>43</v>
      </c>
      <c r="C37" s="3">
        <v>4.5</v>
      </c>
      <c r="D37" s="22">
        <f>DEGREES(ATAN(C37/100))</f>
        <v>2.5765718302688305</v>
      </c>
      <c r="E37" s="17"/>
      <c r="F37" s="18" t="s">
        <v>18</v>
      </c>
      <c r="G37" s="21">
        <f>VLOOKUP(G43,G68:K76,5)</f>
        <v>190</v>
      </c>
      <c r="H37" s="17"/>
      <c r="I37" s="17"/>
      <c r="J37" s="17"/>
      <c r="K37" s="17"/>
      <c r="L37" s="17"/>
    </row>
    <row r="38" spans="2:12" ht="45" x14ac:dyDescent="0.2">
      <c r="B38" s="23" t="s">
        <v>44</v>
      </c>
      <c r="C38" s="2">
        <v>700</v>
      </c>
      <c r="D38" s="17"/>
      <c r="E38" s="17"/>
      <c r="F38" s="17"/>
      <c r="G38" s="24"/>
      <c r="H38" s="21" t="s">
        <v>4</v>
      </c>
      <c r="I38" s="25" t="s">
        <v>12</v>
      </c>
      <c r="J38" s="26" t="s">
        <v>13</v>
      </c>
      <c r="K38" s="27" t="s">
        <v>5</v>
      </c>
      <c r="L38" s="17"/>
    </row>
    <row r="39" spans="2:12" x14ac:dyDescent="0.2">
      <c r="B39" s="23" t="s">
        <v>45</v>
      </c>
      <c r="C39" s="2">
        <v>105</v>
      </c>
      <c r="D39" s="17"/>
      <c r="E39" s="17"/>
      <c r="F39" s="18" t="s">
        <v>30</v>
      </c>
      <c r="G39" s="5">
        <v>8</v>
      </c>
      <c r="H39" s="22">
        <f>DEGREES(ATAN(G39/100))</f>
        <v>4.5739212599008612</v>
      </c>
      <c r="I39" s="28">
        <f>CONVERT((100*(J61)/G39),"ft","m")</f>
        <v>3448.558</v>
      </c>
      <c r="J39" s="29">
        <f>(J35-C44)/J35*I39</f>
        <v>3448.558</v>
      </c>
      <c r="K39" s="30">
        <f>G39/100*J35*6076/60</f>
        <v>405.06666666666666</v>
      </c>
      <c r="L39" s="17"/>
    </row>
    <row r="40" spans="2:12" ht="30" x14ac:dyDescent="0.2">
      <c r="B40" s="23" t="s">
        <v>46</v>
      </c>
      <c r="C40" s="2">
        <v>30</v>
      </c>
      <c r="D40" s="17"/>
      <c r="E40" s="17"/>
      <c r="F40" s="31"/>
      <c r="G40" s="32"/>
      <c r="H40" s="31"/>
      <c r="I40" s="17"/>
      <c r="J40" s="17"/>
      <c r="K40" s="31"/>
      <c r="L40" s="17"/>
    </row>
    <row r="41" spans="2:12" x14ac:dyDescent="0.2">
      <c r="B41" s="17"/>
      <c r="C41" s="17"/>
      <c r="D41" s="17"/>
      <c r="E41" s="17"/>
      <c r="F41" s="18" t="s">
        <v>31</v>
      </c>
      <c r="G41" s="5">
        <v>6</v>
      </c>
      <c r="H41" s="22">
        <f>DEGREES(ATAN(G41/100))</f>
        <v>3.433630362450522</v>
      </c>
      <c r="I41" s="28">
        <f>CONVERT((100*(J63-J62)/G41),"ft","m")</f>
        <v>1015.9999999999994</v>
      </c>
      <c r="J41" s="29">
        <f>(J36-C44)/J36*I41</f>
        <v>1015.9999999999994</v>
      </c>
      <c r="K41" s="30">
        <f>G41/100*J36*6076/60</f>
        <v>394.93999999999994</v>
      </c>
      <c r="L41" s="17"/>
    </row>
    <row r="42" spans="2:12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2:12" x14ac:dyDescent="0.2">
      <c r="B43" s="16" t="s">
        <v>11</v>
      </c>
      <c r="C43" s="24"/>
      <c r="D43" s="17"/>
      <c r="E43" s="17"/>
      <c r="F43" s="18" t="s">
        <v>27</v>
      </c>
      <c r="G43" s="4">
        <v>200</v>
      </c>
      <c r="H43" s="17"/>
      <c r="I43" s="17"/>
      <c r="J43" s="17"/>
      <c r="K43" s="17"/>
      <c r="L43" s="17"/>
    </row>
    <row r="44" spans="2:12" x14ac:dyDescent="0.2">
      <c r="B44" s="18" t="s">
        <v>26</v>
      </c>
      <c r="C44" s="4">
        <v>0</v>
      </c>
      <c r="D44" s="17"/>
      <c r="E44" s="17"/>
      <c r="F44" s="17"/>
      <c r="G44" s="17"/>
      <c r="H44" s="17"/>
      <c r="I44" s="17"/>
      <c r="J44" s="17"/>
      <c r="K44" s="17"/>
      <c r="L44" s="17"/>
    </row>
    <row r="45" spans="2:12" x14ac:dyDescent="0.2">
      <c r="B45" s="18" t="s">
        <v>41</v>
      </c>
      <c r="C45" s="4">
        <v>1000</v>
      </c>
      <c r="D45" s="17"/>
      <c r="E45" s="33"/>
      <c r="F45" s="17"/>
      <c r="G45" s="17"/>
      <c r="H45" s="17"/>
      <c r="I45" s="17"/>
      <c r="J45" s="17"/>
      <c r="K45" s="17"/>
      <c r="L45" s="17"/>
    </row>
    <row r="46" spans="2:12" x14ac:dyDescent="0.2">
      <c r="B46" s="18" t="s">
        <v>15</v>
      </c>
      <c r="C46" s="4">
        <v>30</v>
      </c>
      <c r="D46" s="17"/>
      <c r="E46" s="24"/>
      <c r="F46" s="17"/>
      <c r="G46" s="17"/>
      <c r="H46" s="17"/>
      <c r="I46" s="17"/>
      <c r="J46" s="17"/>
      <c r="K46" s="17"/>
      <c r="L46" s="17"/>
    </row>
    <row r="47" spans="2:12" x14ac:dyDescent="0.2">
      <c r="B47" s="18" t="s">
        <v>33</v>
      </c>
      <c r="C47" s="4">
        <v>2870</v>
      </c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">
      <c r="B48" s="33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2:12" x14ac:dyDescent="0.2">
      <c r="B49" s="34" t="s">
        <v>51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2:12" x14ac:dyDescent="0.2">
      <c r="B50" s="35" t="s">
        <v>52</v>
      </c>
      <c r="C50" s="19">
        <f>ROUND(CONVERT(C36*C37/100,"m","ft"),0)</f>
        <v>44</v>
      </c>
      <c r="D50" s="17"/>
      <c r="E50" s="17"/>
      <c r="F50" s="17"/>
      <c r="G50" s="17"/>
      <c r="H50" s="17"/>
      <c r="I50" s="17"/>
      <c r="J50" s="17"/>
      <c r="K50" s="17"/>
      <c r="L50" s="17"/>
    </row>
    <row r="51" spans="2:12" x14ac:dyDescent="0.2">
      <c r="B51" s="36" t="s">
        <v>53</v>
      </c>
      <c r="C51" s="19">
        <f>IF(C39 - CONVERT(C37*C38/100,"m","ft")&gt;0,C39 - CONVERT(C37*C38/100,"m","ft"),0)</f>
        <v>1.6535433070866077</v>
      </c>
      <c r="D51" s="17"/>
      <c r="E51" s="17"/>
      <c r="F51" s="17"/>
      <c r="G51" s="17"/>
      <c r="H51" s="17"/>
      <c r="I51" s="17"/>
      <c r="J51" s="17"/>
      <c r="K51" s="17"/>
      <c r="L51" s="17"/>
    </row>
    <row r="52" spans="2:12" x14ac:dyDescent="0.2">
      <c r="B52" s="35" t="s">
        <v>54</v>
      </c>
      <c r="C52" s="37">
        <f>IF(C40&gt;C50,ROUND(C40-C50,0),0)</f>
        <v>0</v>
      </c>
      <c r="D52" s="17"/>
      <c r="E52" s="17"/>
      <c r="F52" s="17"/>
      <c r="G52" s="17"/>
      <c r="H52" s="17"/>
      <c r="I52" s="17"/>
      <c r="J52" s="17"/>
      <c r="K52" s="17"/>
      <c r="L52" s="17"/>
    </row>
    <row r="53" spans="2:12" x14ac:dyDescent="0.2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2:12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2:12" ht="60" x14ac:dyDescent="0.2">
      <c r="B55" s="17"/>
      <c r="C55" s="38" t="s">
        <v>28</v>
      </c>
      <c r="D55" s="33" t="s">
        <v>1</v>
      </c>
      <c r="E55" s="17"/>
      <c r="F55" s="38" t="s">
        <v>22</v>
      </c>
      <c r="G55" s="38" t="s">
        <v>21</v>
      </c>
      <c r="H55" s="33" t="s">
        <v>0</v>
      </c>
      <c r="I55" s="33" t="s">
        <v>6</v>
      </c>
      <c r="J55" s="33" t="s">
        <v>2</v>
      </c>
      <c r="K55" s="33" t="s">
        <v>3</v>
      </c>
      <c r="L55" s="17"/>
    </row>
    <row r="56" spans="2:12" x14ac:dyDescent="0.2">
      <c r="B56" s="38"/>
      <c r="C56" s="24">
        <v>0</v>
      </c>
      <c r="D56" s="24">
        <v>-20</v>
      </c>
      <c r="E56" s="17"/>
      <c r="F56" s="24">
        <v>0</v>
      </c>
      <c r="G56" s="39">
        <v>17</v>
      </c>
      <c r="H56" s="40">
        <v>17</v>
      </c>
      <c r="I56" s="24">
        <v>0</v>
      </c>
      <c r="J56" s="24">
        <v>0</v>
      </c>
      <c r="K56" s="24">
        <v>0</v>
      </c>
      <c r="L56" s="17"/>
    </row>
    <row r="57" spans="2:12" x14ac:dyDescent="0.2">
      <c r="B57" s="17"/>
      <c r="C57" s="24">
        <f>J57-70</f>
        <v>70</v>
      </c>
      <c r="D57" s="24">
        <f>K57</f>
        <v>-80</v>
      </c>
      <c r="E57" s="17"/>
      <c r="F57" s="41">
        <f>IF(C40&gt;C35,C40,C35)</f>
        <v>45.653543307086608</v>
      </c>
      <c r="G57" s="42">
        <v>17</v>
      </c>
      <c r="H57" s="41">
        <f>G57</f>
        <v>17</v>
      </c>
      <c r="I57" s="41">
        <f t="shared" ref="I57" si="0">IF($C$35-$C$40&gt;20,$C$35+15,$C$40+35)</f>
        <v>65</v>
      </c>
      <c r="J57" s="24">
        <v>140</v>
      </c>
      <c r="K57" s="24">
        <v>-80</v>
      </c>
      <c r="L57" s="17"/>
    </row>
    <row r="58" spans="2:12" x14ac:dyDescent="0.2">
      <c r="B58" s="42"/>
      <c r="C58" s="24">
        <f>J58-70</f>
        <v>130</v>
      </c>
      <c r="D58" s="40">
        <f>K58</f>
        <v>-110</v>
      </c>
      <c r="E58" s="17"/>
      <c r="F58" s="41">
        <f>F57</f>
        <v>45.653543307086608</v>
      </c>
      <c r="G58" s="42">
        <f>C36+G57</f>
        <v>317</v>
      </c>
      <c r="H58" s="41">
        <f>G58</f>
        <v>317</v>
      </c>
      <c r="I58" s="41">
        <f>I57</f>
        <v>65</v>
      </c>
      <c r="J58" s="24">
        <f>G43</f>
        <v>200</v>
      </c>
      <c r="K58" s="40">
        <f>-VLOOKUP(G43,G68:K76,2)</f>
        <v>-110</v>
      </c>
      <c r="L58" s="17" t="s">
        <v>8</v>
      </c>
    </row>
    <row r="59" spans="2:12" x14ac:dyDescent="0.2">
      <c r="B59" s="17"/>
      <c r="C59" s="17"/>
      <c r="D59" s="17"/>
      <c r="E59" s="17"/>
      <c r="F59" s="41">
        <f>CONVERT((G59-G58)*$C$37/100,"m","ft")+F57</f>
        <v>601.66604330708651</v>
      </c>
      <c r="G59" s="41">
        <f>K63</f>
        <v>4083.0579999999995</v>
      </c>
      <c r="H59" s="41">
        <f>H58</f>
        <v>317</v>
      </c>
      <c r="I59" s="41">
        <f>F58+35</f>
        <v>80.653543307086608</v>
      </c>
      <c r="J59" s="24">
        <f>J58-G36</f>
        <v>95</v>
      </c>
      <c r="K59" s="40">
        <f>(J59-J60)/J61*$J$39+K60</f>
        <v>-19.550000000000011</v>
      </c>
      <c r="L59" s="17" t="s">
        <v>9</v>
      </c>
    </row>
    <row r="60" spans="2:12" x14ac:dyDescent="0.2">
      <c r="B60" s="42"/>
      <c r="C60" s="17"/>
      <c r="D60" s="17"/>
      <c r="E60" s="17"/>
      <c r="F60" s="42"/>
      <c r="G60" s="41"/>
      <c r="H60" s="41">
        <f>G59</f>
        <v>4083.0579999999995</v>
      </c>
      <c r="I60" s="41">
        <f>CONVERT((H60-H58)*($C$37)/100,"m","ft")+I59</f>
        <v>636.66604330708651</v>
      </c>
      <c r="J60" s="24">
        <f>VLOOKUP(G43,G68:K76,4)</f>
        <v>150</v>
      </c>
      <c r="K60" s="40">
        <f>G37</f>
        <v>190</v>
      </c>
      <c r="L60" s="17" t="s">
        <v>10</v>
      </c>
    </row>
    <row r="61" spans="2:12" x14ac:dyDescent="0.2">
      <c r="B61" s="17"/>
      <c r="C61" s="17"/>
      <c r="D61" s="17"/>
      <c r="E61" s="17"/>
      <c r="F61" s="24"/>
      <c r="G61" s="40"/>
      <c r="H61" s="40"/>
      <c r="I61" s="40"/>
      <c r="J61" s="40">
        <f>J59+2*K39</f>
        <v>905.13333333333333</v>
      </c>
      <c r="K61" s="40">
        <f>(J61-J60)/J62*$J$39+K60</f>
        <v>3067.058</v>
      </c>
      <c r="L61" s="43" t="s">
        <v>23</v>
      </c>
    </row>
    <row r="62" spans="2:12" ht="60" x14ac:dyDescent="0.2">
      <c r="B62" s="43"/>
      <c r="C62" s="38" t="s">
        <v>47</v>
      </c>
      <c r="D62" s="38" t="s">
        <v>48</v>
      </c>
      <c r="E62" s="17"/>
      <c r="F62" s="33"/>
      <c r="G62" s="40"/>
      <c r="H62" s="40"/>
      <c r="I62" s="24"/>
      <c r="J62" s="40">
        <f>J61</f>
        <v>905.13333333333333</v>
      </c>
      <c r="K62" s="40">
        <f>K61</f>
        <v>3067.058</v>
      </c>
      <c r="L62" s="43" t="s">
        <v>24</v>
      </c>
    </row>
    <row r="63" spans="2:12" x14ac:dyDescent="0.2">
      <c r="B63" s="43"/>
      <c r="C63" s="42">
        <v>0</v>
      </c>
      <c r="D63" s="42">
        <f>C38</f>
        <v>700</v>
      </c>
      <c r="E63" s="17"/>
      <c r="F63" s="40"/>
      <c r="G63" s="24"/>
      <c r="H63" s="24"/>
      <c r="I63" s="24"/>
      <c r="J63" s="40">
        <f>J62+200</f>
        <v>1105.1333333333332</v>
      </c>
      <c r="K63" s="40">
        <f>$J$41+K62</f>
        <v>4083.0579999999995</v>
      </c>
      <c r="L63" s="43" t="s">
        <v>25</v>
      </c>
    </row>
    <row r="64" spans="2:12" x14ac:dyDescent="0.2">
      <c r="B64" s="43"/>
      <c r="C64" s="42">
        <f>C39</f>
        <v>105</v>
      </c>
      <c r="D64" s="42">
        <f>C38</f>
        <v>700</v>
      </c>
      <c r="E64" s="17"/>
      <c r="F64" s="44"/>
      <c r="G64" s="17"/>
      <c r="H64" s="17"/>
      <c r="I64" s="17"/>
      <c r="J64" s="17"/>
      <c r="K64" s="17"/>
      <c r="L64" s="17"/>
    </row>
    <row r="65" spans="2:12" x14ac:dyDescent="0.2">
      <c r="B65" s="17"/>
      <c r="C65" s="43"/>
      <c r="D65" s="43"/>
      <c r="E65" s="17"/>
      <c r="F65" s="17"/>
      <c r="G65" s="17"/>
      <c r="H65" s="17"/>
      <c r="I65" s="17"/>
      <c r="J65" s="17"/>
      <c r="K65" s="17"/>
      <c r="L65" s="17"/>
    </row>
    <row r="66" spans="2:12" x14ac:dyDescent="0.2">
      <c r="B66" s="17"/>
      <c r="C66" s="43"/>
      <c r="D66" s="43"/>
      <c r="E66" s="17"/>
      <c r="F66" s="17"/>
      <c r="G66" s="17"/>
      <c r="H66" s="17"/>
      <c r="I66" s="17"/>
      <c r="J66" s="17"/>
      <c r="K66" s="17"/>
      <c r="L66" s="17"/>
    </row>
    <row r="67" spans="2:12" ht="60" x14ac:dyDescent="0.2">
      <c r="B67" s="17"/>
      <c r="C67" s="38" t="s">
        <v>49</v>
      </c>
      <c r="D67" s="38" t="s">
        <v>50</v>
      </c>
      <c r="E67" s="17"/>
      <c r="F67" s="17"/>
      <c r="G67" s="17" t="s">
        <v>34</v>
      </c>
      <c r="H67" s="17" t="s">
        <v>35</v>
      </c>
      <c r="I67" s="17" t="s">
        <v>36</v>
      </c>
      <c r="J67" s="17" t="s">
        <v>37</v>
      </c>
      <c r="K67" s="17" t="s">
        <v>38</v>
      </c>
      <c r="L67" s="17"/>
    </row>
    <row r="68" spans="2:12" x14ac:dyDescent="0.2">
      <c r="B68" s="17"/>
      <c r="C68" s="42">
        <f>C40</f>
        <v>30</v>
      </c>
      <c r="D68" s="42">
        <f>G56</f>
        <v>17</v>
      </c>
      <c r="E68" s="17"/>
      <c r="F68" s="17"/>
      <c r="G68" s="17">
        <v>140</v>
      </c>
      <c r="H68" s="17">
        <v>80</v>
      </c>
      <c r="I68" s="17">
        <v>35</v>
      </c>
      <c r="J68" s="17">
        <v>90</v>
      </c>
      <c r="K68" s="17">
        <v>220</v>
      </c>
      <c r="L68" s="17"/>
    </row>
    <row r="69" spans="2:12" x14ac:dyDescent="0.2">
      <c r="B69" s="17"/>
      <c r="C69" s="42">
        <f>C40</f>
        <v>30</v>
      </c>
      <c r="D69" s="42">
        <f>C36</f>
        <v>300</v>
      </c>
      <c r="E69" s="17"/>
      <c r="F69" s="17"/>
      <c r="G69" s="17">
        <v>160</v>
      </c>
      <c r="H69" s="17">
        <v>90</v>
      </c>
      <c r="I69" s="17">
        <v>55</v>
      </c>
      <c r="J69" s="17">
        <v>110</v>
      </c>
      <c r="K69" s="17">
        <v>210</v>
      </c>
      <c r="L69" s="17"/>
    </row>
    <row r="70" spans="2:12" x14ac:dyDescent="0.2">
      <c r="B70" s="17"/>
      <c r="C70" s="42">
        <v>0</v>
      </c>
      <c r="D70" s="42">
        <f>D69</f>
        <v>300</v>
      </c>
      <c r="E70" s="17"/>
      <c r="F70" s="17"/>
      <c r="G70" s="17">
        <v>180</v>
      </c>
      <c r="H70" s="17">
        <v>100</v>
      </c>
      <c r="I70" s="17">
        <v>75</v>
      </c>
      <c r="J70" s="17">
        <v>130</v>
      </c>
      <c r="K70" s="17">
        <v>200</v>
      </c>
      <c r="L70" s="17"/>
    </row>
    <row r="71" spans="2:12" x14ac:dyDescent="0.2">
      <c r="B71" s="17"/>
      <c r="C71" s="17"/>
      <c r="D71" s="17"/>
      <c r="E71" s="17"/>
      <c r="F71" s="17"/>
      <c r="G71" s="17">
        <v>200</v>
      </c>
      <c r="H71" s="17">
        <v>110</v>
      </c>
      <c r="I71" s="17">
        <v>95</v>
      </c>
      <c r="J71" s="17">
        <v>150</v>
      </c>
      <c r="K71" s="17">
        <v>190</v>
      </c>
      <c r="L71" s="17"/>
    </row>
    <row r="72" spans="2:12" x14ac:dyDescent="0.2">
      <c r="B72" s="17"/>
      <c r="C72" s="17"/>
      <c r="D72" s="17"/>
      <c r="E72" s="17"/>
      <c r="F72" s="17"/>
      <c r="G72" s="17">
        <v>220</v>
      </c>
      <c r="H72" s="17">
        <v>125</v>
      </c>
      <c r="I72" s="17">
        <v>105</v>
      </c>
      <c r="J72" s="17">
        <v>170</v>
      </c>
      <c r="K72" s="17">
        <v>180</v>
      </c>
      <c r="L72" s="17"/>
    </row>
    <row r="73" spans="2:12" x14ac:dyDescent="0.2">
      <c r="B73" s="17"/>
      <c r="C73" s="17"/>
      <c r="D73" s="17"/>
      <c r="E73" s="17"/>
      <c r="F73" s="17"/>
      <c r="G73" s="17">
        <v>240</v>
      </c>
      <c r="H73" s="17">
        <v>140</v>
      </c>
      <c r="I73" s="17">
        <v>115</v>
      </c>
      <c r="J73" s="17">
        <v>180</v>
      </c>
      <c r="K73" s="17">
        <v>170</v>
      </c>
      <c r="L73" s="17"/>
    </row>
    <row r="74" spans="2:12" x14ac:dyDescent="0.2">
      <c r="B74" s="17"/>
      <c r="C74" s="17"/>
      <c r="D74" s="17"/>
      <c r="E74" s="17"/>
      <c r="F74" s="17"/>
      <c r="G74" s="17">
        <v>260</v>
      </c>
      <c r="H74" s="17">
        <v>155</v>
      </c>
      <c r="I74" s="17">
        <v>125</v>
      </c>
      <c r="J74" s="17">
        <v>190</v>
      </c>
      <c r="K74" s="17">
        <v>160</v>
      </c>
      <c r="L74" s="17"/>
    </row>
    <row r="75" spans="2:12" x14ac:dyDescent="0.2">
      <c r="B75" s="17"/>
      <c r="C75" s="17"/>
      <c r="D75" s="17"/>
      <c r="E75" s="17"/>
      <c r="F75" s="44"/>
      <c r="G75" s="17">
        <v>280</v>
      </c>
      <c r="H75" s="17">
        <v>170</v>
      </c>
      <c r="I75" s="17">
        <v>135</v>
      </c>
      <c r="J75" s="17">
        <v>200</v>
      </c>
      <c r="K75" s="17">
        <v>150</v>
      </c>
      <c r="L75" s="17"/>
    </row>
    <row r="76" spans="2:12" x14ac:dyDescent="0.2">
      <c r="B76" s="17"/>
      <c r="C76" s="17"/>
      <c r="D76" s="17"/>
      <c r="E76" s="17"/>
      <c r="F76" s="17"/>
      <c r="G76" s="17">
        <v>300</v>
      </c>
      <c r="H76" s="17">
        <v>185</v>
      </c>
      <c r="I76" s="17">
        <v>145</v>
      </c>
      <c r="J76" s="17">
        <v>210</v>
      </c>
      <c r="K76" s="17">
        <v>140</v>
      </c>
      <c r="L76" s="17"/>
    </row>
  </sheetData>
  <sheetProtection algorithmName="SHA-512" hashValue="WOPyWkJLg0ny8xYgLFUY3uZyUu9MoAIrYEtEcHvlfej+uMjI2x7In23n5r3RTAyPH8sWnS4hTGpmCmKroLe1Iw==" saltValue="C9fE/NCoubFB+cMkTkznvA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64BC-B03D-3F4E-B8FD-56A62048A136}">
  <dimension ref="B34:L65"/>
  <sheetViews>
    <sheetView topLeftCell="A14" zoomScale="90" zoomScaleNormal="90" zoomScalePageLayoutView="70" workbookViewId="0">
      <selection activeCell="B39" sqref="B39"/>
    </sheetView>
  </sheetViews>
  <sheetFormatPr defaultColWidth="11.19921875" defaultRowHeight="15" x14ac:dyDescent="0.2"/>
  <cols>
    <col min="2" max="2" width="39.8984375" customWidth="1"/>
    <col min="5" max="5" width="5.19921875" customWidth="1"/>
    <col min="6" max="6" width="27.3984375" bestFit="1" customWidth="1"/>
    <col min="7" max="7" width="8.3984375" customWidth="1"/>
    <col min="8" max="8" width="9" customWidth="1"/>
    <col min="9" max="9" width="12" customWidth="1"/>
    <col min="10" max="10" width="12.8984375" customWidth="1"/>
  </cols>
  <sheetData>
    <row r="34" spans="2:12" x14ac:dyDescent="0.2">
      <c r="B34" s="16" t="s">
        <v>32</v>
      </c>
      <c r="C34" s="17"/>
      <c r="D34" s="17"/>
      <c r="E34" s="17"/>
      <c r="F34" s="16" t="s">
        <v>7</v>
      </c>
      <c r="G34" s="17"/>
      <c r="H34" s="17"/>
      <c r="I34" s="17"/>
      <c r="J34" s="17"/>
      <c r="K34" s="17"/>
      <c r="L34" s="17"/>
    </row>
    <row r="35" spans="2:12" x14ac:dyDescent="0.2">
      <c r="B35" s="18" t="s">
        <v>14</v>
      </c>
      <c r="C35" s="19">
        <f>C50+IF(C51&gt;C52,C51,C52)</f>
        <v>45.653543307086608</v>
      </c>
      <c r="D35" s="17"/>
      <c r="E35" s="17"/>
      <c r="F35" s="18" t="s">
        <v>16</v>
      </c>
      <c r="G35" s="4">
        <v>2870</v>
      </c>
      <c r="H35" s="17"/>
      <c r="I35" s="20" t="s">
        <v>20</v>
      </c>
      <c r="J35" s="21">
        <v>50</v>
      </c>
      <c r="K35" s="17"/>
      <c r="L35" s="17"/>
    </row>
    <row r="36" spans="2:12" x14ac:dyDescent="0.2">
      <c r="B36" s="18" t="s">
        <v>42</v>
      </c>
      <c r="C36" s="2">
        <v>300</v>
      </c>
      <c r="D36" s="21" t="s">
        <v>4</v>
      </c>
      <c r="E36" s="17"/>
      <c r="F36" s="18" t="s">
        <v>17</v>
      </c>
      <c r="G36" s="45">
        <v>105</v>
      </c>
      <c r="H36" s="17"/>
      <c r="I36" s="20" t="s">
        <v>19</v>
      </c>
      <c r="J36" s="21">
        <v>65</v>
      </c>
      <c r="K36" s="17"/>
      <c r="L36" s="17"/>
    </row>
    <row r="37" spans="2:12" x14ac:dyDescent="0.2">
      <c r="B37" s="18" t="s">
        <v>43</v>
      </c>
      <c r="C37" s="3">
        <v>4.5</v>
      </c>
      <c r="D37" s="22">
        <f>DEGREES(ATAN(C37/100))</f>
        <v>2.5765718302688305</v>
      </c>
      <c r="E37" s="17"/>
      <c r="F37" s="18" t="s">
        <v>18</v>
      </c>
      <c r="G37" s="45">
        <v>220</v>
      </c>
      <c r="H37" s="17"/>
      <c r="I37" s="17"/>
      <c r="J37" s="17"/>
      <c r="K37" s="17"/>
      <c r="L37" s="17"/>
    </row>
    <row r="38" spans="2:12" ht="45" x14ac:dyDescent="0.2">
      <c r="B38" s="23" t="s">
        <v>44</v>
      </c>
      <c r="C38" s="2">
        <v>700</v>
      </c>
      <c r="D38" s="17"/>
      <c r="E38" s="17"/>
      <c r="F38" s="17"/>
      <c r="G38" s="24"/>
      <c r="H38" s="21" t="s">
        <v>4</v>
      </c>
      <c r="I38" s="25" t="s">
        <v>12</v>
      </c>
      <c r="J38" s="26" t="s">
        <v>13</v>
      </c>
      <c r="K38" s="27" t="s">
        <v>5</v>
      </c>
      <c r="L38" s="17"/>
    </row>
    <row r="39" spans="2:12" x14ac:dyDescent="0.2">
      <c r="B39" s="23" t="s">
        <v>45</v>
      </c>
      <c r="C39" s="2">
        <v>105</v>
      </c>
      <c r="D39" s="17"/>
      <c r="E39" s="17"/>
      <c r="F39" s="18" t="s">
        <v>30</v>
      </c>
      <c r="G39" s="5">
        <v>8</v>
      </c>
      <c r="H39" s="22">
        <f>DEGREES(ATAN(G39/100))</f>
        <v>4.5739212599008612</v>
      </c>
      <c r="I39" s="28">
        <f>CONVERT((100*(J54)/G39),"ft","m")</f>
        <v>3258.058</v>
      </c>
      <c r="J39" s="29">
        <f>(J35-C44)/J35*I39</f>
        <v>3258.058</v>
      </c>
      <c r="K39" s="30">
        <f>G39/100*J35*6076/60</f>
        <v>405.06666666666666</v>
      </c>
      <c r="L39" s="17"/>
    </row>
    <row r="40" spans="2:12" ht="30" x14ac:dyDescent="0.2">
      <c r="B40" s="23" t="s">
        <v>46</v>
      </c>
      <c r="C40" s="2">
        <v>30</v>
      </c>
      <c r="D40" s="17"/>
      <c r="E40" s="17"/>
      <c r="F40" s="31"/>
      <c r="G40" s="32"/>
      <c r="H40" s="31"/>
      <c r="I40" s="17"/>
      <c r="J40" s="17"/>
      <c r="K40" s="31"/>
      <c r="L40" s="17"/>
    </row>
    <row r="41" spans="2:12" x14ac:dyDescent="0.2">
      <c r="B41" s="17"/>
      <c r="C41" s="17"/>
      <c r="D41" s="17"/>
      <c r="E41" s="17"/>
      <c r="F41" s="18" t="s">
        <v>31</v>
      </c>
      <c r="G41" s="5">
        <v>6</v>
      </c>
      <c r="H41" s="22">
        <f>DEGREES(ATAN(G41/100))</f>
        <v>3.433630362450522</v>
      </c>
      <c r="I41" s="28">
        <f>CONVERT((100*(J56-J55)/G41),"ft","m")</f>
        <v>1015.9999999999994</v>
      </c>
      <c r="J41" s="29">
        <f>(J36-C44)/J36*I41</f>
        <v>1015.9999999999994</v>
      </c>
      <c r="K41" s="30">
        <f>G41/100*J36*6076/60</f>
        <v>394.93999999999994</v>
      </c>
      <c r="L41" s="17"/>
    </row>
    <row r="42" spans="2:12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2:12" x14ac:dyDescent="0.2">
      <c r="B43" s="16" t="s">
        <v>11</v>
      </c>
      <c r="C43" s="24"/>
      <c r="D43" s="17"/>
      <c r="E43" s="17"/>
      <c r="F43" s="18" t="s">
        <v>39</v>
      </c>
      <c r="G43" s="4">
        <v>150</v>
      </c>
      <c r="H43" s="17"/>
      <c r="I43" s="17"/>
      <c r="J43" s="17"/>
      <c r="K43" s="17"/>
      <c r="L43" s="17"/>
    </row>
    <row r="44" spans="2:12" x14ac:dyDescent="0.2">
      <c r="B44" s="18" t="s">
        <v>26</v>
      </c>
      <c r="C44" s="4">
        <v>0</v>
      </c>
      <c r="D44" s="17"/>
      <c r="E44" s="17"/>
      <c r="F44" s="17"/>
      <c r="G44" s="17"/>
      <c r="H44" s="17"/>
      <c r="I44" s="17"/>
      <c r="J44" s="17"/>
      <c r="K44" s="17"/>
      <c r="L44" s="17"/>
    </row>
    <row r="45" spans="2:12" x14ac:dyDescent="0.2">
      <c r="B45" s="18" t="s">
        <v>41</v>
      </c>
      <c r="C45" s="4">
        <v>1000</v>
      </c>
      <c r="D45" s="33"/>
      <c r="E45" s="33"/>
      <c r="F45" s="17"/>
      <c r="G45" s="17"/>
      <c r="H45" s="17"/>
      <c r="I45" s="17"/>
      <c r="J45" s="17"/>
      <c r="K45" s="17"/>
      <c r="L45" s="17"/>
    </row>
    <row r="46" spans="2:12" x14ac:dyDescent="0.2">
      <c r="B46" s="18" t="s">
        <v>15</v>
      </c>
      <c r="C46" s="4">
        <v>30</v>
      </c>
      <c r="D46" s="17"/>
      <c r="E46" s="24"/>
      <c r="F46" s="17"/>
      <c r="G46" s="17"/>
      <c r="H46" s="17"/>
      <c r="I46" s="17"/>
      <c r="J46" s="17"/>
      <c r="K46" s="17"/>
      <c r="L46" s="17"/>
    </row>
    <row r="47" spans="2:12" x14ac:dyDescent="0.2">
      <c r="B47" s="18" t="s">
        <v>33</v>
      </c>
      <c r="C47" s="4">
        <v>2870</v>
      </c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">
      <c r="B48" s="43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2:12" ht="60" x14ac:dyDescent="0.2">
      <c r="B49" s="34" t="s">
        <v>51</v>
      </c>
      <c r="C49" s="17"/>
      <c r="D49" s="17"/>
      <c r="E49" s="17"/>
      <c r="F49" s="38" t="s">
        <v>22</v>
      </c>
      <c r="G49" s="38" t="s">
        <v>21</v>
      </c>
      <c r="H49" s="33" t="s">
        <v>0</v>
      </c>
      <c r="I49" s="33" t="s">
        <v>6</v>
      </c>
      <c r="J49" s="33" t="s">
        <v>2</v>
      </c>
      <c r="K49" s="33" t="s">
        <v>3</v>
      </c>
      <c r="L49" s="17"/>
    </row>
    <row r="50" spans="2:12" x14ac:dyDescent="0.2">
      <c r="B50" s="35" t="s">
        <v>52</v>
      </c>
      <c r="C50" s="19">
        <f>ROUND(CONVERT(C36*C37/100,"m","ft"),0)</f>
        <v>44</v>
      </c>
      <c r="D50" s="17"/>
      <c r="E50" s="17"/>
      <c r="F50" s="24">
        <v>0</v>
      </c>
      <c r="G50" s="39">
        <v>17</v>
      </c>
      <c r="H50" s="40">
        <v>17</v>
      </c>
      <c r="I50" s="24">
        <v>0</v>
      </c>
      <c r="J50" s="24">
        <v>0</v>
      </c>
      <c r="K50" s="24">
        <v>0</v>
      </c>
      <c r="L50" s="17"/>
    </row>
    <row r="51" spans="2:12" x14ac:dyDescent="0.2">
      <c r="B51" s="36" t="s">
        <v>53</v>
      </c>
      <c r="C51" s="19">
        <f>IF(C39 - CONVERT(C37*C38/100,"m","ft")&gt;0,C39 - CONVERT(C37*C38/100,"m","ft"),0)</f>
        <v>1.6535433070866077</v>
      </c>
      <c r="D51" s="17"/>
      <c r="E51" s="17"/>
      <c r="F51" s="41">
        <f>IF(C40&gt;C35,C40,C35)</f>
        <v>45.653543307086608</v>
      </c>
      <c r="G51" s="42">
        <v>17</v>
      </c>
      <c r="H51" s="41">
        <f>G51</f>
        <v>17</v>
      </c>
      <c r="I51" s="41">
        <f t="shared" ref="I51" si="0">IF($C$35-$C$40&gt;20,$C$35+15,$C$40+35)</f>
        <v>65</v>
      </c>
      <c r="J51" s="24">
        <f>G43</f>
        <v>150</v>
      </c>
      <c r="K51" s="46">
        <v>0</v>
      </c>
      <c r="L51" s="17"/>
    </row>
    <row r="52" spans="2:12" x14ac:dyDescent="0.2">
      <c r="B52" s="35" t="s">
        <v>54</v>
      </c>
      <c r="C52" s="37">
        <f>IF(C40&gt;C50,ROUND(C40-C50,0),0)</f>
        <v>0</v>
      </c>
      <c r="D52" s="17"/>
      <c r="E52" s="17"/>
      <c r="F52" s="41">
        <f>F51</f>
        <v>45.653543307086608</v>
      </c>
      <c r="G52" s="42">
        <f>C36+G51</f>
        <v>317</v>
      </c>
      <c r="H52" s="41">
        <f>G52</f>
        <v>317</v>
      </c>
      <c r="I52" s="41">
        <f>I51</f>
        <v>65</v>
      </c>
      <c r="J52" s="24">
        <f>J51-G36</f>
        <v>45</v>
      </c>
      <c r="K52" s="40">
        <f>(J52-J53)/J54*$J$39+K53</f>
        <v>143.80000000000001</v>
      </c>
      <c r="L52" s="17" t="s">
        <v>9</v>
      </c>
    </row>
    <row r="53" spans="2:12" x14ac:dyDescent="0.2">
      <c r="B53" s="17"/>
      <c r="C53" s="17"/>
      <c r="D53" s="17"/>
      <c r="E53" s="17"/>
      <c r="F53" s="41">
        <f>CONVERT((G53-G52)*$C$37/100,"m","ft")+F51</f>
        <v>625.78267716535413</v>
      </c>
      <c r="G53" s="41">
        <f>K56</f>
        <v>4246.4079999999994</v>
      </c>
      <c r="H53" s="41">
        <f>H52</f>
        <v>317</v>
      </c>
      <c r="I53" s="41">
        <f>F52+35</f>
        <v>80.653543307086608</v>
      </c>
      <c r="J53" s="24">
        <f>J52+20</f>
        <v>65</v>
      </c>
      <c r="K53" s="40">
        <f>G37</f>
        <v>220</v>
      </c>
      <c r="L53" s="17" t="s">
        <v>10</v>
      </c>
    </row>
    <row r="54" spans="2:12" x14ac:dyDescent="0.2">
      <c r="B54" s="17"/>
      <c r="C54" s="17"/>
      <c r="D54" s="17"/>
      <c r="E54" s="17"/>
      <c r="F54" s="42"/>
      <c r="G54" s="41"/>
      <c r="H54" s="41">
        <f>G53</f>
        <v>4246.4079999999994</v>
      </c>
      <c r="I54" s="41">
        <f>CONVERT((H54-H52)*($C$37)/100,"m","ft")+I53</f>
        <v>660.78267716535413</v>
      </c>
      <c r="J54" s="40">
        <f>J52+2*K39</f>
        <v>855.13333333333333</v>
      </c>
      <c r="K54" s="40">
        <f>(J54-J53)/J55*$J$39+K53</f>
        <v>3230.4079999999999</v>
      </c>
      <c r="L54" s="43" t="s">
        <v>23</v>
      </c>
    </row>
    <row r="55" spans="2:12" x14ac:dyDescent="0.2">
      <c r="B55" s="17"/>
      <c r="C55" s="17"/>
      <c r="D55" s="17"/>
      <c r="E55" s="17"/>
      <c r="F55" s="24"/>
      <c r="G55" s="40"/>
      <c r="H55" s="40"/>
      <c r="I55" s="24"/>
      <c r="J55" s="40">
        <f>J54</f>
        <v>855.13333333333333</v>
      </c>
      <c r="K55" s="40">
        <f>K54+G40</f>
        <v>3230.4079999999999</v>
      </c>
      <c r="L55" s="43" t="s">
        <v>24</v>
      </c>
    </row>
    <row r="56" spans="2:12" ht="60" x14ac:dyDescent="0.2">
      <c r="B56" s="38"/>
      <c r="C56" s="38" t="s">
        <v>47</v>
      </c>
      <c r="D56" s="38" t="s">
        <v>48</v>
      </c>
      <c r="E56" s="17"/>
      <c r="F56" s="33"/>
      <c r="G56" s="40"/>
      <c r="H56" s="40"/>
      <c r="I56" s="24"/>
      <c r="J56" s="40">
        <f>J55+200</f>
        <v>1055.1333333333332</v>
      </c>
      <c r="K56" s="40">
        <f>$J$41+K55</f>
        <v>4246.4079999999994</v>
      </c>
      <c r="L56" s="43" t="s">
        <v>25</v>
      </c>
    </row>
    <row r="57" spans="2:12" x14ac:dyDescent="0.2">
      <c r="B57" s="17"/>
      <c r="C57" s="42">
        <v>0</v>
      </c>
      <c r="D57" s="42">
        <f>C38</f>
        <v>700</v>
      </c>
      <c r="E57" s="17"/>
      <c r="F57" s="17"/>
      <c r="G57" s="17"/>
      <c r="H57" s="17"/>
      <c r="I57" s="17"/>
      <c r="J57" s="17"/>
      <c r="K57" s="17"/>
      <c r="L57" s="17"/>
    </row>
    <row r="58" spans="2:12" x14ac:dyDescent="0.2">
      <c r="B58" s="42"/>
      <c r="C58" s="42">
        <f>C39</f>
        <v>105</v>
      </c>
      <c r="D58" s="42">
        <f>C38</f>
        <v>700</v>
      </c>
      <c r="E58" s="17"/>
      <c r="F58" s="17"/>
      <c r="G58" s="17"/>
      <c r="H58" s="17"/>
      <c r="I58" s="17"/>
      <c r="J58" s="17"/>
      <c r="K58" s="17"/>
      <c r="L58" s="17"/>
    </row>
    <row r="59" spans="2:12" x14ac:dyDescent="0.2">
      <c r="B59" s="17"/>
      <c r="C59" s="43"/>
      <c r="D59" s="43"/>
      <c r="E59" s="17"/>
      <c r="F59" s="17"/>
      <c r="G59" s="17"/>
      <c r="H59" s="17"/>
      <c r="I59" s="17"/>
      <c r="J59" s="17"/>
      <c r="K59" s="17"/>
      <c r="L59" s="17"/>
    </row>
    <row r="60" spans="2:12" x14ac:dyDescent="0.2">
      <c r="B60" s="42"/>
      <c r="C60" s="43"/>
      <c r="D60" s="43"/>
      <c r="E60" s="17"/>
      <c r="F60" s="17"/>
      <c r="G60" s="17"/>
      <c r="H60" s="17"/>
      <c r="I60" s="17"/>
      <c r="J60" s="17"/>
      <c r="K60" s="17"/>
      <c r="L60" s="17"/>
    </row>
    <row r="61" spans="2:12" ht="60" x14ac:dyDescent="0.2">
      <c r="B61" s="17"/>
      <c r="C61" s="38" t="s">
        <v>49</v>
      </c>
      <c r="D61" s="38" t="s">
        <v>50</v>
      </c>
      <c r="E61" s="17"/>
      <c r="F61" s="17"/>
      <c r="G61" s="17"/>
      <c r="H61" s="17"/>
      <c r="I61" s="17"/>
      <c r="J61" s="17"/>
      <c r="K61" s="17"/>
      <c r="L61" s="17"/>
    </row>
    <row r="62" spans="2:12" x14ac:dyDescent="0.2">
      <c r="B62" s="43"/>
      <c r="C62" s="42">
        <f>C40</f>
        <v>30</v>
      </c>
      <c r="D62" s="42">
        <f>G50</f>
        <v>17</v>
      </c>
      <c r="E62" s="17"/>
      <c r="F62" s="17"/>
      <c r="G62" s="17"/>
      <c r="H62" s="17"/>
      <c r="I62" s="17"/>
      <c r="J62" s="17"/>
      <c r="K62" s="17"/>
      <c r="L62" s="17"/>
    </row>
    <row r="63" spans="2:12" x14ac:dyDescent="0.2">
      <c r="B63" s="43"/>
      <c r="C63" s="42">
        <f>C40</f>
        <v>30</v>
      </c>
      <c r="D63" s="42">
        <f>C36</f>
        <v>300</v>
      </c>
      <c r="E63" s="17"/>
      <c r="F63" s="17"/>
      <c r="G63" s="17"/>
      <c r="H63" s="17"/>
      <c r="I63" s="17"/>
      <c r="J63" s="17"/>
      <c r="K63" s="17"/>
      <c r="L63" s="17"/>
    </row>
    <row r="64" spans="2:12" x14ac:dyDescent="0.2">
      <c r="B64" s="43"/>
      <c r="C64" s="42">
        <v>0</v>
      </c>
      <c r="D64" s="42">
        <f>D63</f>
        <v>300</v>
      </c>
      <c r="E64" s="17"/>
      <c r="F64" s="17"/>
      <c r="G64" s="17"/>
      <c r="H64" s="17"/>
      <c r="I64" s="17"/>
      <c r="J64" s="17"/>
      <c r="K64" s="17"/>
      <c r="L64" s="17"/>
    </row>
    <row r="65" spans="6:6" x14ac:dyDescent="0.2">
      <c r="F65" s="1"/>
    </row>
  </sheetData>
  <sheetProtection algorithmName="SHA-512" hashValue="N3YCJF1KdqGNAEbC34e75hW3qj/5R65r7fcdxO3KhJwFjznAQaVudPy2RRmUV7YTitbs3KbrgnQLtl70mEjZtQ==" saltValue="s7gBcBgs9h5a1+D/BXx5pQ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CEF0-E057-054B-9590-C0BDFA59DD3B}">
  <dimension ref="B34:L65"/>
  <sheetViews>
    <sheetView topLeftCell="A14" zoomScale="90" zoomScaleNormal="90" zoomScalePageLayoutView="70" workbookViewId="0">
      <selection activeCell="D38" sqref="D38"/>
    </sheetView>
  </sheetViews>
  <sheetFormatPr defaultColWidth="11.19921875" defaultRowHeight="15" x14ac:dyDescent="0.2"/>
  <cols>
    <col min="2" max="2" width="39.8984375" customWidth="1"/>
    <col min="5" max="5" width="3.8984375" customWidth="1"/>
    <col min="6" max="6" width="27.3984375" bestFit="1" customWidth="1"/>
    <col min="7" max="7" width="8.3984375" customWidth="1"/>
    <col min="8" max="8" width="9" customWidth="1"/>
    <col min="9" max="9" width="11.8984375" bestFit="1" customWidth="1"/>
    <col min="10" max="10" width="12.8984375" customWidth="1"/>
  </cols>
  <sheetData>
    <row r="34" spans="2:12" x14ac:dyDescent="0.2">
      <c r="B34" s="16" t="s">
        <v>32</v>
      </c>
      <c r="C34" s="17"/>
      <c r="D34" s="17"/>
      <c r="E34" s="17"/>
      <c r="F34" s="16" t="s">
        <v>7</v>
      </c>
      <c r="G34" s="17"/>
      <c r="H34" s="17"/>
      <c r="I34" s="17"/>
      <c r="J34" s="17"/>
      <c r="K34" s="17"/>
      <c r="L34" s="17"/>
    </row>
    <row r="35" spans="2:12" x14ac:dyDescent="0.2">
      <c r="B35" s="18" t="s">
        <v>14</v>
      </c>
      <c r="C35" s="19">
        <f>C50+IF(C51&gt;C52,C51,C52)</f>
        <v>45.653543307086608</v>
      </c>
      <c r="D35" s="17"/>
      <c r="E35" s="17"/>
      <c r="F35" s="18" t="s">
        <v>16</v>
      </c>
      <c r="G35" s="4">
        <v>3100</v>
      </c>
      <c r="H35" s="17"/>
      <c r="I35" s="20" t="s">
        <v>20</v>
      </c>
      <c r="J35" s="21">
        <v>50</v>
      </c>
      <c r="K35" s="17"/>
      <c r="L35" s="17"/>
    </row>
    <row r="36" spans="2:12" x14ac:dyDescent="0.2">
      <c r="B36" s="18" t="s">
        <v>42</v>
      </c>
      <c r="C36" s="2">
        <v>300</v>
      </c>
      <c r="D36" s="21" t="s">
        <v>4</v>
      </c>
      <c r="E36" s="17"/>
      <c r="F36" s="18" t="s">
        <v>17</v>
      </c>
      <c r="G36" s="45">
        <v>0</v>
      </c>
      <c r="H36" s="17"/>
      <c r="I36" s="20" t="s">
        <v>19</v>
      </c>
      <c r="J36" s="21">
        <v>65</v>
      </c>
      <c r="K36" s="17"/>
      <c r="L36" s="17"/>
    </row>
    <row r="37" spans="2:12" x14ac:dyDescent="0.2">
      <c r="B37" s="18" t="s">
        <v>43</v>
      </c>
      <c r="C37" s="3">
        <v>4.5</v>
      </c>
      <c r="D37" s="22">
        <f>DEGREES(ATAN(C37/100))</f>
        <v>2.5765718302688305</v>
      </c>
      <c r="E37" s="17"/>
      <c r="F37" s="18" t="s">
        <v>18</v>
      </c>
      <c r="G37" s="4">
        <v>250</v>
      </c>
      <c r="H37" s="17"/>
      <c r="I37" s="17"/>
      <c r="J37" s="17"/>
      <c r="K37" s="17"/>
      <c r="L37" s="17"/>
    </row>
    <row r="38" spans="2:12" ht="45" x14ac:dyDescent="0.2">
      <c r="B38" s="23" t="s">
        <v>44</v>
      </c>
      <c r="C38" s="2">
        <v>700</v>
      </c>
      <c r="D38" s="17"/>
      <c r="E38" s="17"/>
      <c r="F38" s="17"/>
      <c r="G38" s="24"/>
      <c r="H38" s="21" t="s">
        <v>4</v>
      </c>
      <c r="I38" s="25" t="s">
        <v>12</v>
      </c>
      <c r="J38" s="26" t="s">
        <v>13</v>
      </c>
      <c r="K38" s="27" t="s">
        <v>5</v>
      </c>
      <c r="L38" s="17"/>
    </row>
    <row r="39" spans="2:12" x14ac:dyDescent="0.2">
      <c r="B39" s="23" t="s">
        <v>45</v>
      </c>
      <c r="C39" s="2">
        <v>105</v>
      </c>
      <c r="D39" s="17"/>
      <c r="E39" s="17"/>
      <c r="F39" s="18" t="s">
        <v>30</v>
      </c>
      <c r="G39" s="5">
        <v>5</v>
      </c>
      <c r="H39" s="22">
        <f>DEGREES(ATAN(G39/100))</f>
        <v>2.8624052261117479</v>
      </c>
      <c r="I39" s="28">
        <f>CONVERT((100*(J53)/G39),"ft","m")</f>
        <v>3879.0880000000002</v>
      </c>
      <c r="J39" s="29">
        <f>(J35-C44)/J35*I39</f>
        <v>3879.0880000000002</v>
      </c>
      <c r="K39" s="30">
        <f>G39/100*J35*6076/60</f>
        <v>253.16666666666666</v>
      </c>
      <c r="L39" s="17"/>
    </row>
    <row r="40" spans="2:12" ht="30" x14ac:dyDescent="0.2">
      <c r="B40" s="23" t="s">
        <v>46</v>
      </c>
      <c r="C40" s="2">
        <v>30</v>
      </c>
      <c r="D40" s="17"/>
      <c r="E40" s="17"/>
      <c r="F40" s="31"/>
      <c r="G40" s="45"/>
      <c r="H40" s="31"/>
      <c r="I40" s="17"/>
      <c r="J40" s="17"/>
      <c r="K40" s="31"/>
      <c r="L40" s="17"/>
    </row>
    <row r="41" spans="2:12" x14ac:dyDescent="0.2">
      <c r="B41" s="17"/>
      <c r="C41" s="17"/>
      <c r="D41" s="17"/>
      <c r="E41" s="17"/>
      <c r="F41" s="18" t="s">
        <v>31</v>
      </c>
      <c r="G41" s="5">
        <v>3</v>
      </c>
      <c r="H41" s="22">
        <f>DEGREES(ATAN(G41/100))</f>
        <v>1.7183580016554572</v>
      </c>
      <c r="I41" s="28">
        <f>CONVERT((100*(J55-J54)/G41),"ft","m")</f>
        <v>2032</v>
      </c>
      <c r="J41" s="29">
        <f>(J36-C44)/J36*I41</f>
        <v>2032</v>
      </c>
      <c r="K41" s="30">
        <f>G41/100*J36*6076/60</f>
        <v>197.46999999999997</v>
      </c>
      <c r="L41" s="17"/>
    </row>
    <row r="42" spans="2:12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2:12" x14ac:dyDescent="0.2">
      <c r="B43" s="16" t="s">
        <v>11</v>
      </c>
      <c r="C43" s="24"/>
      <c r="D43" s="17"/>
      <c r="E43" s="17"/>
      <c r="F43" s="18" t="s">
        <v>40</v>
      </c>
      <c r="G43" s="4">
        <v>130</v>
      </c>
      <c r="H43" s="17"/>
      <c r="I43" s="17"/>
      <c r="J43" s="17"/>
      <c r="K43" s="17"/>
      <c r="L43" s="17"/>
    </row>
    <row r="44" spans="2:12" x14ac:dyDescent="0.2">
      <c r="B44" s="18" t="s">
        <v>26</v>
      </c>
      <c r="C44" s="4">
        <v>0</v>
      </c>
      <c r="D44" s="17"/>
      <c r="E44" s="17"/>
      <c r="F44" s="17"/>
      <c r="G44" s="17"/>
      <c r="H44" s="17"/>
      <c r="I44" s="17"/>
      <c r="J44" s="17"/>
      <c r="K44" s="17"/>
      <c r="L44" s="17"/>
    </row>
    <row r="45" spans="2:12" x14ac:dyDescent="0.2">
      <c r="B45" s="18" t="s">
        <v>41</v>
      </c>
      <c r="C45" s="4">
        <v>1000</v>
      </c>
      <c r="D45" s="33"/>
      <c r="E45" s="33"/>
      <c r="F45" s="17"/>
      <c r="G45" s="17"/>
      <c r="H45" s="17"/>
      <c r="I45" s="17"/>
      <c r="J45" s="17"/>
      <c r="K45" s="17"/>
      <c r="L45" s="17"/>
    </row>
    <row r="46" spans="2:12" x14ac:dyDescent="0.2">
      <c r="B46" s="18" t="s">
        <v>15</v>
      </c>
      <c r="C46" s="4">
        <v>30</v>
      </c>
      <c r="D46" s="17"/>
      <c r="E46" s="24"/>
      <c r="F46" s="17"/>
      <c r="G46" s="17"/>
      <c r="H46" s="17"/>
      <c r="I46" s="17"/>
      <c r="J46" s="17"/>
      <c r="K46" s="17"/>
      <c r="L46" s="17"/>
    </row>
    <row r="47" spans="2:12" x14ac:dyDescent="0.2">
      <c r="B47" s="18" t="s">
        <v>33</v>
      </c>
      <c r="C47" s="4">
        <v>2870</v>
      </c>
      <c r="D47" s="17"/>
      <c r="E47" s="17"/>
      <c r="F47" s="17"/>
      <c r="G47" s="17"/>
      <c r="H47" s="17"/>
      <c r="I47" s="17"/>
      <c r="J47" s="17"/>
      <c r="K47" s="17"/>
      <c r="L47" s="17"/>
    </row>
    <row r="48" spans="2:12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2:12" ht="60" x14ac:dyDescent="0.2">
      <c r="B49" s="34" t="s">
        <v>51</v>
      </c>
      <c r="C49" s="17"/>
      <c r="D49" s="17"/>
      <c r="E49" s="17"/>
      <c r="F49" s="38" t="s">
        <v>22</v>
      </c>
      <c r="G49" s="38" t="s">
        <v>21</v>
      </c>
      <c r="H49" s="33" t="s">
        <v>0</v>
      </c>
      <c r="I49" s="33" t="s">
        <v>6</v>
      </c>
      <c r="J49" s="33" t="s">
        <v>2</v>
      </c>
      <c r="K49" s="33" t="s">
        <v>3</v>
      </c>
      <c r="L49" s="17"/>
    </row>
    <row r="50" spans="2:12" x14ac:dyDescent="0.2">
      <c r="B50" s="35" t="s">
        <v>52</v>
      </c>
      <c r="C50" s="41">
        <f>ROUND(CONVERT(C36*C37/100,"m","ft"),0)</f>
        <v>44</v>
      </c>
      <c r="D50" s="17"/>
      <c r="E50" s="17"/>
      <c r="F50" s="24">
        <v>0</v>
      </c>
      <c r="G50" s="39">
        <v>17</v>
      </c>
      <c r="H50" s="40">
        <v>17</v>
      </c>
      <c r="I50" s="24">
        <v>0</v>
      </c>
      <c r="J50" s="24">
        <v>0</v>
      </c>
      <c r="K50" s="24">
        <v>0</v>
      </c>
      <c r="L50" s="17"/>
    </row>
    <row r="51" spans="2:12" x14ac:dyDescent="0.2">
      <c r="B51" s="36" t="s">
        <v>53</v>
      </c>
      <c r="C51" s="41">
        <f>IF(C39 - CONVERT(C37*C38/100,"m","ft")&gt;0,C39 - CONVERT(C37*C38/100,"m","ft"),0)</f>
        <v>1.6535433070866077</v>
      </c>
      <c r="D51" s="17"/>
      <c r="E51" s="17"/>
      <c r="F51" s="41">
        <f>IF(C40&gt;C35,C40,C35)</f>
        <v>45.653543307086608</v>
      </c>
      <c r="G51" s="42">
        <v>17</v>
      </c>
      <c r="H51" s="41">
        <f>G51</f>
        <v>17</v>
      </c>
      <c r="I51" s="41">
        <f t="shared" ref="I51" si="0">IF($C$35-$C$40&gt;20,$C$35+15,$C$40+35)</f>
        <v>65</v>
      </c>
      <c r="J51" s="24">
        <f>G43</f>
        <v>130</v>
      </c>
      <c r="K51" s="46">
        <v>0</v>
      </c>
      <c r="L51" s="17"/>
    </row>
    <row r="52" spans="2:12" x14ac:dyDescent="0.2">
      <c r="B52" s="35" t="s">
        <v>54</v>
      </c>
      <c r="C52" s="42">
        <f>IF(C40&gt;C50,ROUND(C40-C50,0),0)</f>
        <v>0</v>
      </c>
      <c r="D52" s="17"/>
      <c r="E52" s="17"/>
      <c r="F52" s="41">
        <f>F51</f>
        <v>45.653543307086608</v>
      </c>
      <c r="G52" s="42">
        <f>C36+G51</f>
        <v>317</v>
      </c>
      <c r="H52" s="41">
        <f>G52</f>
        <v>317</v>
      </c>
      <c r="I52" s="41">
        <f>I51</f>
        <v>65</v>
      </c>
      <c r="J52" s="24">
        <f>J51-G36</f>
        <v>130</v>
      </c>
      <c r="K52" s="40">
        <f>G37</f>
        <v>250</v>
      </c>
      <c r="L52" s="43" t="s">
        <v>29</v>
      </c>
    </row>
    <row r="53" spans="2:12" x14ac:dyDescent="0.2">
      <c r="B53" s="17"/>
      <c r="C53" s="17"/>
      <c r="D53" s="17"/>
      <c r="E53" s="17"/>
      <c r="F53" s="41">
        <f>CONVERT((G53-G52)*$C$37/100,"m","ft")+F51</f>
        <v>791.46181102362198</v>
      </c>
      <c r="G53" s="41">
        <f>K55</f>
        <v>5368.6080000000002</v>
      </c>
      <c r="H53" s="41">
        <f>H52</f>
        <v>317</v>
      </c>
      <c r="I53" s="41">
        <f>F52+35</f>
        <v>80.653543307086608</v>
      </c>
      <c r="J53" s="40">
        <f>J51+2*K39</f>
        <v>636.33333333333326</v>
      </c>
      <c r="K53" s="40">
        <f>(J53-J52)/J54*$J$39+K52</f>
        <v>3336.6079999999997</v>
      </c>
      <c r="L53" s="43" t="s">
        <v>23</v>
      </c>
    </row>
    <row r="54" spans="2:12" x14ac:dyDescent="0.2">
      <c r="B54" s="17"/>
      <c r="C54" s="17"/>
      <c r="D54" s="17"/>
      <c r="E54" s="17"/>
      <c r="F54" s="42"/>
      <c r="G54" s="41"/>
      <c r="H54" s="41">
        <f>G53</f>
        <v>5368.6080000000002</v>
      </c>
      <c r="I54" s="41">
        <f>CONVERT((H54-H52)*($C$37)/100,"m","ft")+I53</f>
        <v>826.46181102362198</v>
      </c>
      <c r="J54" s="40">
        <f>J53</f>
        <v>636.33333333333326</v>
      </c>
      <c r="K54" s="40">
        <f>K53+G40</f>
        <v>3336.6079999999997</v>
      </c>
      <c r="L54" s="43" t="s">
        <v>24</v>
      </c>
    </row>
    <row r="55" spans="2:12" x14ac:dyDescent="0.2">
      <c r="B55" s="17"/>
      <c r="C55" s="17"/>
      <c r="D55" s="17"/>
      <c r="E55" s="17"/>
      <c r="F55" s="24"/>
      <c r="G55" s="40"/>
      <c r="H55" s="40"/>
      <c r="I55" s="24"/>
      <c r="J55" s="40">
        <f>J54+200</f>
        <v>836.33333333333326</v>
      </c>
      <c r="K55" s="40">
        <f>$J$41+K54</f>
        <v>5368.6080000000002</v>
      </c>
      <c r="L55" s="43" t="s">
        <v>25</v>
      </c>
    </row>
    <row r="56" spans="2:12" ht="60" x14ac:dyDescent="0.2">
      <c r="B56" s="38"/>
      <c r="C56" s="38" t="s">
        <v>47</v>
      </c>
      <c r="D56" s="38" t="s">
        <v>48</v>
      </c>
      <c r="E56" s="17"/>
      <c r="F56" s="17"/>
      <c r="G56" s="17"/>
      <c r="H56" s="17"/>
      <c r="I56" s="17"/>
      <c r="J56" s="17"/>
      <c r="K56" s="17"/>
      <c r="L56" s="17"/>
    </row>
    <row r="57" spans="2:12" x14ac:dyDescent="0.2">
      <c r="B57" s="17"/>
      <c r="C57" s="42">
        <v>0</v>
      </c>
      <c r="D57" s="42">
        <f>C38</f>
        <v>700</v>
      </c>
      <c r="E57" s="17"/>
      <c r="F57" s="17"/>
      <c r="G57" s="17"/>
      <c r="H57" s="17"/>
      <c r="I57" s="17"/>
      <c r="J57" s="17"/>
      <c r="K57" s="17"/>
      <c r="L57" s="17"/>
    </row>
    <row r="58" spans="2:12" x14ac:dyDescent="0.2">
      <c r="B58" s="42"/>
      <c r="C58" s="42">
        <f>C39</f>
        <v>105</v>
      </c>
      <c r="D58" s="42">
        <f>C38</f>
        <v>700</v>
      </c>
      <c r="E58" s="17"/>
      <c r="F58" s="17"/>
      <c r="G58" s="17"/>
      <c r="H58" s="17"/>
      <c r="I58" s="17"/>
      <c r="J58" s="17"/>
      <c r="K58" s="17"/>
      <c r="L58" s="17"/>
    </row>
    <row r="59" spans="2:12" x14ac:dyDescent="0.2">
      <c r="B59" s="17"/>
      <c r="C59" s="43"/>
      <c r="D59" s="43"/>
      <c r="E59" s="17"/>
      <c r="F59" s="17"/>
      <c r="G59" s="17"/>
      <c r="H59" s="17"/>
      <c r="I59" s="17"/>
      <c r="J59" s="17"/>
      <c r="K59" s="17"/>
      <c r="L59" s="17"/>
    </row>
    <row r="60" spans="2:12" x14ac:dyDescent="0.2">
      <c r="B60" s="42"/>
      <c r="C60" s="43"/>
      <c r="D60" s="43"/>
      <c r="E60" s="17"/>
      <c r="F60" s="17"/>
      <c r="G60" s="17"/>
      <c r="H60" s="17"/>
      <c r="I60" s="17"/>
      <c r="J60" s="17"/>
      <c r="K60" s="17"/>
      <c r="L60" s="17"/>
    </row>
    <row r="61" spans="2:12" ht="60" x14ac:dyDescent="0.2">
      <c r="B61" s="17"/>
      <c r="C61" s="38" t="s">
        <v>49</v>
      </c>
      <c r="D61" s="38" t="s">
        <v>50</v>
      </c>
      <c r="E61" s="17"/>
      <c r="F61" s="17"/>
      <c r="G61" s="17"/>
      <c r="H61" s="17"/>
      <c r="I61" s="17"/>
      <c r="J61" s="17"/>
      <c r="K61" s="17"/>
      <c r="L61" s="17"/>
    </row>
    <row r="62" spans="2:12" x14ac:dyDescent="0.2">
      <c r="B62" s="43"/>
      <c r="C62" s="42">
        <f>C40</f>
        <v>30</v>
      </c>
      <c r="D62" s="42">
        <f>G50</f>
        <v>17</v>
      </c>
      <c r="E62" s="17"/>
      <c r="F62" s="17"/>
      <c r="G62" s="17"/>
      <c r="H62" s="17"/>
      <c r="I62" s="17"/>
      <c r="J62" s="17"/>
      <c r="K62" s="17"/>
      <c r="L62" s="17"/>
    </row>
    <row r="63" spans="2:12" x14ac:dyDescent="0.2">
      <c r="B63" s="43"/>
      <c r="C63" s="42">
        <f>C40</f>
        <v>30</v>
      </c>
      <c r="D63" s="42">
        <f>C36</f>
        <v>300</v>
      </c>
      <c r="E63" s="17"/>
      <c r="F63" s="17"/>
      <c r="G63" s="17"/>
      <c r="H63" s="17"/>
      <c r="I63" s="17"/>
      <c r="J63" s="17"/>
      <c r="K63" s="17"/>
      <c r="L63" s="17"/>
    </row>
    <row r="64" spans="2:12" x14ac:dyDescent="0.2">
      <c r="B64" s="43"/>
      <c r="C64" s="42">
        <v>0</v>
      </c>
      <c r="D64" s="42">
        <f>D63</f>
        <v>300</v>
      </c>
      <c r="E64" s="17"/>
      <c r="F64" s="17"/>
      <c r="G64" s="17"/>
      <c r="H64" s="17"/>
      <c r="I64" s="17"/>
      <c r="J64" s="17"/>
      <c r="K64" s="17"/>
      <c r="L64" s="17"/>
    </row>
    <row r="65" spans="6:6" x14ac:dyDescent="0.2">
      <c r="F65" s="1"/>
    </row>
  </sheetData>
  <sheetProtection algorithmName="SHA-512" hashValue="C+D2B8hGHoPkbxH0grGO2C2JFCJibdUfN7dYvdv1b0cZ5EKv2PJluZ1nYx8cgQVvzxZryxyJWjoO82cm94RyMA==" saltValue="IqPM6qCI8J5FjxrVPTrJrw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A1596-C3EA-C744-A874-D1102BC8D013}">
  <dimension ref="B34:L65"/>
  <sheetViews>
    <sheetView tabSelected="1" topLeftCell="A28" zoomScale="85" zoomScaleNormal="85" zoomScalePageLayoutView="70" workbookViewId="0">
      <selection activeCell="D43" sqref="D43"/>
    </sheetView>
  </sheetViews>
  <sheetFormatPr defaultColWidth="11.19921875" defaultRowHeight="15" x14ac:dyDescent="0.2"/>
  <cols>
    <col min="1" max="1" width="11.19921875" style="6"/>
    <col min="2" max="2" width="39.19921875" style="6" customWidth="1"/>
    <col min="3" max="4" width="11.19921875" style="6"/>
    <col min="5" max="5" width="3.8984375" style="6" customWidth="1"/>
    <col min="6" max="6" width="27.3984375" style="6" bestFit="1" customWidth="1"/>
    <col min="7" max="7" width="8.3984375" style="6" customWidth="1"/>
    <col min="8" max="8" width="9" style="6" customWidth="1"/>
    <col min="9" max="9" width="11.8984375" style="6" bestFit="1" customWidth="1"/>
    <col min="10" max="10" width="12.8984375" style="6" customWidth="1"/>
    <col min="11" max="16384" width="11.19921875" style="6"/>
  </cols>
  <sheetData>
    <row r="34" spans="2:12" x14ac:dyDescent="0.2">
      <c r="B34" s="47" t="s">
        <v>55</v>
      </c>
      <c r="C34" s="48"/>
      <c r="D34" s="49"/>
      <c r="E34" s="49"/>
      <c r="F34" s="50" t="s">
        <v>7</v>
      </c>
      <c r="G34" s="49"/>
      <c r="H34" s="49"/>
      <c r="I34" s="49"/>
      <c r="J34" s="49"/>
      <c r="K34" s="49"/>
      <c r="L34" s="49"/>
    </row>
    <row r="35" spans="2:12" x14ac:dyDescent="0.2">
      <c r="B35" s="51" t="s">
        <v>60</v>
      </c>
      <c r="C35" s="7">
        <v>600</v>
      </c>
      <c r="D35" s="49"/>
      <c r="E35" s="49"/>
      <c r="F35" s="52" t="s">
        <v>16</v>
      </c>
      <c r="G35" s="8">
        <v>3180</v>
      </c>
      <c r="H35" s="49"/>
      <c r="I35" s="53" t="s">
        <v>20</v>
      </c>
      <c r="J35" s="54">
        <v>50</v>
      </c>
      <c r="K35" s="49"/>
      <c r="L35" s="49"/>
    </row>
    <row r="36" spans="2:12" x14ac:dyDescent="0.2">
      <c r="B36" s="18" t="s">
        <v>61</v>
      </c>
      <c r="C36" s="55">
        <f>C50</f>
        <v>45.393700787401571</v>
      </c>
      <c r="D36" s="49"/>
      <c r="E36" s="49"/>
      <c r="F36" s="49"/>
      <c r="G36" s="49"/>
      <c r="H36" s="49"/>
      <c r="I36" s="53" t="s">
        <v>19</v>
      </c>
      <c r="J36" s="54">
        <v>65</v>
      </c>
      <c r="K36" s="49"/>
      <c r="L36" s="49"/>
    </row>
    <row r="37" spans="2:12" x14ac:dyDescent="0.2">
      <c r="B37" s="51" t="s">
        <v>62</v>
      </c>
      <c r="C37" s="7">
        <v>700</v>
      </c>
      <c r="D37" s="54" t="s">
        <v>4</v>
      </c>
      <c r="E37" s="49"/>
      <c r="F37" s="52" t="s">
        <v>18</v>
      </c>
      <c r="G37" s="8">
        <v>260</v>
      </c>
      <c r="H37" s="49"/>
      <c r="I37" s="49"/>
      <c r="J37" s="49"/>
      <c r="K37" s="49"/>
      <c r="L37" s="49"/>
    </row>
    <row r="38" spans="2:12" ht="45" x14ac:dyDescent="0.2">
      <c r="B38" s="56" t="s">
        <v>43</v>
      </c>
      <c r="C38" s="9">
        <v>2.5</v>
      </c>
      <c r="D38" s="57">
        <f>DEGREES(ATAN(C38/100))</f>
        <v>1.4320961841646465</v>
      </c>
      <c r="E38" s="49"/>
      <c r="F38" s="49"/>
      <c r="G38" s="58"/>
      <c r="H38" s="54" t="s">
        <v>4</v>
      </c>
      <c r="I38" s="59" t="s">
        <v>12</v>
      </c>
      <c r="J38" s="60" t="s">
        <v>13</v>
      </c>
      <c r="K38" s="60" t="s">
        <v>5</v>
      </c>
      <c r="L38" s="49"/>
    </row>
    <row r="39" spans="2:12" ht="30" x14ac:dyDescent="0.2">
      <c r="B39" s="61" t="s">
        <v>56</v>
      </c>
      <c r="C39" s="7">
        <v>300</v>
      </c>
      <c r="D39" s="49"/>
      <c r="E39" s="49"/>
      <c r="F39" s="52" t="s">
        <v>30</v>
      </c>
      <c r="G39" s="10">
        <v>3.5</v>
      </c>
      <c r="H39" s="57">
        <f>DEGREES(ATAN(G39/100))</f>
        <v>2.0045340321059042</v>
      </c>
      <c r="I39" s="62">
        <f>CONVERT((100*(J52)/G39),"ft","m")</f>
        <v>3391.4080000000008</v>
      </c>
      <c r="J39" s="55">
        <f>(J35-C44)/J35*I39</f>
        <v>3391.4080000000008</v>
      </c>
      <c r="K39" s="55">
        <f>G39/100*J35*6076/60</f>
        <v>177.2166666666667</v>
      </c>
      <c r="L39" s="49"/>
    </row>
    <row r="40" spans="2:12" x14ac:dyDescent="0.2">
      <c r="B40" s="61" t="s">
        <v>45</v>
      </c>
      <c r="C40" s="7">
        <v>70</v>
      </c>
      <c r="D40" s="49"/>
      <c r="E40" s="49"/>
      <c r="F40" s="49"/>
      <c r="G40" s="49"/>
      <c r="H40" s="52"/>
      <c r="I40" s="49"/>
      <c r="J40" s="49"/>
      <c r="K40" s="52"/>
      <c r="L40" s="49"/>
    </row>
    <row r="41" spans="2:12" x14ac:dyDescent="0.2">
      <c r="B41" s="48"/>
      <c r="C41" s="48"/>
      <c r="D41" s="49"/>
      <c r="E41" s="49"/>
      <c r="F41" s="52" t="s">
        <v>31</v>
      </c>
      <c r="G41" s="10">
        <v>2.5</v>
      </c>
      <c r="H41" s="57">
        <f>DEGREES(ATAN(G41/100))</f>
        <v>1.4320961841646465</v>
      </c>
      <c r="I41" s="62">
        <f>CONVERT((100*(J54-J53)/G41),"ft","m")</f>
        <v>2438.4</v>
      </c>
      <c r="J41" s="55">
        <f>(J36-C44)/J36*I41</f>
        <v>2438.4</v>
      </c>
      <c r="K41" s="55">
        <f>G41/100*J36*6076/60</f>
        <v>164.55833333333334</v>
      </c>
      <c r="L41" s="49"/>
    </row>
    <row r="42" spans="2:12" x14ac:dyDescent="0.2">
      <c r="B42" s="48"/>
      <c r="C42" s="48"/>
      <c r="D42" s="49"/>
      <c r="E42" s="49"/>
      <c r="F42" s="49"/>
      <c r="G42" s="49"/>
      <c r="H42" s="49"/>
      <c r="I42" s="49"/>
      <c r="J42" s="49"/>
      <c r="K42" s="49"/>
      <c r="L42" s="49"/>
    </row>
    <row r="43" spans="2:12" x14ac:dyDescent="0.2">
      <c r="B43" s="47" t="s">
        <v>11</v>
      </c>
      <c r="C43" s="63"/>
      <c r="D43" s="49"/>
      <c r="E43" s="49"/>
      <c r="F43" s="49"/>
      <c r="G43" s="49"/>
      <c r="H43" s="49"/>
      <c r="I43" s="49"/>
      <c r="J43" s="49"/>
      <c r="K43" s="49"/>
      <c r="L43" s="49"/>
    </row>
    <row r="44" spans="2:12" x14ac:dyDescent="0.2">
      <c r="B44" s="56" t="s">
        <v>26</v>
      </c>
      <c r="C44" s="12">
        <v>0</v>
      </c>
      <c r="D44" s="49"/>
      <c r="E44" s="49"/>
      <c r="F44" s="49"/>
      <c r="G44" s="49"/>
      <c r="H44" s="49"/>
      <c r="I44" s="49"/>
      <c r="J44" s="49"/>
      <c r="K44" s="49"/>
      <c r="L44" s="49"/>
    </row>
    <row r="45" spans="2:12" x14ac:dyDescent="0.2">
      <c r="B45" s="56" t="s">
        <v>41</v>
      </c>
      <c r="C45" s="12">
        <v>1000</v>
      </c>
      <c r="D45" s="64"/>
      <c r="E45" s="64"/>
      <c r="F45" s="49"/>
      <c r="G45" s="49"/>
      <c r="H45" s="49"/>
      <c r="I45" s="49"/>
      <c r="J45" s="49"/>
      <c r="K45" s="49"/>
      <c r="L45" s="49"/>
    </row>
    <row r="46" spans="2:12" x14ac:dyDescent="0.2">
      <c r="B46" s="56" t="s">
        <v>15</v>
      </c>
      <c r="C46" s="12">
        <v>30</v>
      </c>
      <c r="D46" s="49"/>
      <c r="E46" s="58"/>
      <c r="F46" s="49"/>
      <c r="G46" s="49"/>
      <c r="H46" s="49"/>
      <c r="I46" s="49"/>
      <c r="J46" s="49"/>
      <c r="K46" s="49"/>
      <c r="L46" s="49"/>
    </row>
    <row r="47" spans="2:12" x14ac:dyDescent="0.2">
      <c r="B47" s="56" t="s">
        <v>57</v>
      </c>
      <c r="C47" s="12">
        <v>3090</v>
      </c>
      <c r="D47" s="49"/>
      <c r="E47" s="49"/>
      <c r="F47" s="49"/>
      <c r="G47" s="49"/>
      <c r="H47" s="49"/>
      <c r="I47" s="49"/>
      <c r="J47" s="49"/>
      <c r="K47" s="49"/>
      <c r="L47" s="49"/>
    </row>
    <row r="48" spans="2:12" x14ac:dyDescent="0.2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2:12" ht="60" x14ac:dyDescent="0.2">
      <c r="B49" s="65" t="s">
        <v>51</v>
      </c>
      <c r="C49" s="49"/>
      <c r="D49" s="49"/>
      <c r="E49" s="49"/>
      <c r="F49" s="64" t="s">
        <v>22</v>
      </c>
      <c r="G49" s="64" t="s">
        <v>21</v>
      </c>
      <c r="H49" s="64" t="s">
        <v>0</v>
      </c>
      <c r="I49" s="64" t="s">
        <v>6</v>
      </c>
      <c r="J49" s="64" t="s">
        <v>2</v>
      </c>
      <c r="K49" s="64" t="s">
        <v>3</v>
      </c>
      <c r="L49" s="49"/>
    </row>
    <row r="50" spans="2:12" x14ac:dyDescent="0.2">
      <c r="B50" s="66" t="s">
        <v>53</v>
      </c>
      <c r="C50" s="67">
        <f>IF(C40 - CONVERT(C38*C39/100,"m","ft")&gt;0,C40 - CONVERT(C38*C39/100,"m","ft"),0)</f>
        <v>45.393700787401571</v>
      </c>
      <c r="D50" s="49"/>
      <c r="E50" s="49"/>
      <c r="F50" s="68">
        <v>0</v>
      </c>
      <c r="G50" s="68">
        <f>G37</f>
        <v>260</v>
      </c>
      <c r="H50" s="68">
        <f>G50</f>
        <v>260</v>
      </c>
      <c r="I50" s="68">
        <v>0</v>
      </c>
      <c r="J50" s="63">
        <v>0</v>
      </c>
      <c r="K50" s="63">
        <v>0</v>
      </c>
      <c r="L50" s="49"/>
    </row>
    <row r="51" spans="2:12" x14ac:dyDescent="0.2">
      <c r="B51" s="49"/>
      <c r="C51" s="49"/>
      <c r="D51" s="49"/>
      <c r="E51" s="49"/>
      <c r="F51" s="40">
        <v>0</v>
      </c>
      <c r="G51" s="24">
        <f>C37</f>
        <v>700</v>
      </c>
      <c r="H51" s="24">
        <f>H50</f>
        <v>260</v>
      </c>
      <c r="I51" s="40">
        <v>35</v>
      </c>
      <c r="J51" s="63">
        <v>35</v>
      </c>
      <c r="K51" s="69">
        <f>G37</f>
        <v>260</v>
      </c>
      <c r="L51" s="49" t="s">
        <v>10</v>
      </c>
    </row>
    <row r="52" spans="2:12" x14ac:dyDescent="0.2">
      <c r="B52" s="49"/>
      <c r="C52" s="49"/>
      <c r="D52" s="49"/>
      <c r="E52" s="49"/>
      <c r="F52" s="70">
        <f>C50</f>
        <v>45.393700787401571</v>
      </c>
      <c r="G52" s="68">
        <f>C37</f>
        <v>700</v>
      </c>
      <c r="H52" s="24">
        <f>C37</f>
        <v>700</v>
      </c>
      <c r="I52" s="41">
        <f>I51</f>
        <v>35</v>
      </c>
      <c r="J52" s="69">
        <f>J51+2*K39</f>
        <v>389.43333333333339</v>
      </c>
      <c r="K52" s="69">
        <f>(J52-J51)/J53*$J$39+K51</f>
        <v>3346.6080000000011</v>
      </c>
      <c r="L52" s="49" t="s">
        <v>23</v>
      </c>
    </row>
    <row r="53" spans="2:12" x14ac:dyDescent="0.2">
      <c r="B53" s="49"/>
      <c r="C53" s="49"/>
      <c r="D53" s="49"/>
      <c r="E53" s="49"/>
      <c r="F53" s="70">
        <f>CONVERT((G53-G52)*$C$38/100,"m","ft")+F52</f>
        <v>462.471128608924</v>
      </c>
      <c r="G53" s="70">
        <f>K54</f>
        <v>5785.0080000000016</v>
      </c>
      <c r="H53" s="70">
        <f>G52</f>
        <v>700</v>
      </c>
      <c r="I53" s="70">
        <f>F52+35</f>
        <v>80.393700787401571</v>
      </c>
      <c r="J53" s="69">
        <f>J52</f>
        <v>389.43333333333339</v>
      </c>
      <c r="K53" s="69">
        <f>K52+G40</f>
        <v>3346.6080000000011</v>
      </c>
      <c r="L53" s="49" t="s">
        <v>24</v>
      </c>
    </row>
    <row r="54" spans="2:12" x14ac:dyDescent="0.2">
      <c r="B54" s="49"/>
      <c r="C54" s="49"/>
      <c r="D54" s="49"/>
      <c r="E54" s="49"/>
      <c r="F54" s="17"/>
      <c r="G54" s="17"/>
      <c r="H54" s="70">
        <f>K54</f>
        <v>5785.0080000000016</v>
      </c>
      <c r="I54" s="70">
        <f>CONVERT((H54-H53)*($C$38)/100,"m","ft")+I53</f>
        <v>497.471128608924</v>
      </c>
      <c r="J54" s="69">
        <f>J53+200</f>
        <v>589.43333333333339</v>
      </c>
      <c r="K54" s="69">
        <f>$J$41+K53</f>
        <v>5785.0080000000016</v>
      </c>
      <c r="L54" s="49" t="s">
        <v>25</v>
      </c>
    </row>
    <row r="55" spans="2:12" x14ac:dyDescent="0.2">
      <c r="B55" s="49"/>
      <c r="C55" s="49"/>
      <c r="D55" s="49"/>
      <c r="E55" s="49"/>
      <c r="F55" s="58"/>
      <c r="G55" s="71"/>
      <c r="H55" s="71"/>
      <c r="I55" s="58"/>
      <c r="J55" s="49"/>
      <c r="K55" s="49"/>
      <c r="L55" s="49"/>
    </row>
    <row r="56" spans="2:12" ht="60" x14ac:dyDescent="0.2">
      <c r="B56" s="64"/>
      <c r="C56" s="72" t="s">
        <v>47</v>
      </c>
      <c r="D56" s="72" t="s">
        <v>48</v>
      </c>
      <c r="E56" s="49"/>
      <c r="F56" s="49"/>
      <c r="G56" s="49"/>
      <c r="H56" s="71"/>
      <c r="I56" s="58"/>
      <c r="J56" s="49"/>
      <c r="K56" s="49"/>
      <c r="L56" s="49"/>
    </row>
    <row r="57" spans="2:12" x14ac:dyDescent="0.2">
      <c r="B57" s="49"/>
      <c r="C57" s="63">
        <v>0</v>
      </c>
      <c r="D57" s="63">
        <f>C37+C39</f>
        <v>1000</v>
      </c>
      <c r="E57" s="49"/>
      <c r="F57" s="49"/>
      <c r="G57" s="49"/>
      <c r="H57" s="49"/>
      <c r="I57" s="49"/>
      <c r="J57" s="49"/>
      <c r="K57" s="49"/>
      <c r="L57" s="49"/>
    </row>
    <row r="58" spans="2:12" x14ac:dyDescent="0.2">
      <c r="B58" s="58"/>
      <c r="C58" s="63">
        <f>C40</f>
        <v>70</v>
      </c>
      <c r="D58" s="63">
        <f>D57</f>
        <v>1000</v>
      </c>
      <c r="E58" s="49"/>
      <c r="F58" s="49"/>
      <c r="G58" s="49"/>
      <c r="H58" s="49"/>
      <c r="I58" s="49"/>
      <c r="J58" s="49"/>
      <c r="K58" s="49"/>
      <c r="L58" s="49"/>
    </row>
    <row r="59" spans="2:12" x14ac:dyDescent="0.2">
      <c r="B59" s="49"/>
      <c r="C59" s="48"/>
      <c r="D59" s="48"/>
      <c r="E59" s="49"/>
      <c r="F59" s="49"/>
      <c r="G59" s="49"/>
      <c r="H59" s="49"/>
      <c r="I59" s="49"/>
      <c r="J59" s="49"/>
      <c r="K59" s="49"/>
      <c r="L59" s="49"/>
    </row>
    <row r="60" spans="2:12" x14ac:dyDescent="0.2">
      <c r="B60" s="58"/>
      <c r="C60" s="48"/>
      <c r="D60" s="48"/>
      <c r="E60" s="49"/>
      <c r="F60" s="49"/>
      <c r="G60" s="49"/>
      <c r="H60" s="49"/>
      <c r="I60" s="49"/>
      <c r="J60" s="49"/>
      <c r="K60" s="49"/>
      <c r="L60" s="49"/>
    </row>
    <row r="61" spans="2:12" ht="30" x14ac:dyDescent="0.2">
      <c r="B61" s="49"/>
      <c r="C61" s="72" t="s">
        <v>58</v>
      </c>
      <c r="D61" s="69" t="s">
        <v>59</v>
      </c>
      <c r="E61" s="49"/>
      <c r="F61" s="49"/>
      <c r="G61" s="49"/>
      <c r="H61" s="49"/>
      <c r="I61" s="49"/>
      <c r="J61" s="49"/>
      <c r="K61" s="49"/>
      <c r="L61" s="49"/>
    </row>
    <row r="62" spans="2:12" x14ac:dyDescent="0.2">
      <c r="B62" s="49"/>
      <c r="C62" s="69">
        <v>0</v>
      </c>
      <c r="D62" s="63">
        <v>0</v>
      </c>
      <c r="E62" s="49"/>
      <c r="F62" s="49"/>
      <c r="G62" s="49"/>
      <c r="H62" s="49"/>
      <c r="I62" s="49"/>
      <c r="J62" s="49"/>
      <c r="K62" s="49"/>
      <c r="L62" s="49"/>
    </row>
    <row r="63" spans="2:12" x14ac:dyDescent="0.2">
      <c r="C63" s="11">
        <v>0</v>
      </c>
      <c r="D63" s="11">
        <f>C35</f>
        <v>600</v>
      </c>
    </row>
    <row r="64" spans="2:12" x14ac:dyDescent="0.2">
      <c r="C64" s="13"/>
      <c r="D64" s="14"/>
    </row>
    <row r="65" spans="6:6" x14ac:dyDescent="0.2">
      <c r="F65" s="15"/>
    </row>
  </sheetData>
  <sheetProtection algorithmName="SHA-512" hashValue="VjFy1n7/QEwQqF9TpKDZdfccuCILvP1ta3nBGfMuVG0driUfoEJREjwjwDeDKZ1PYhreEB5H54H/MxY1EzdHog==" saltValue="9Tn1MahSpvBTgiXwIZnjjA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1.19921875" defaultRowHeight="15" x14ac:dyDescent="0.2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VTOL PC1 &amp; PC2</vt:lpstr>
      <vt:lpstr>Vertical PC2WE &lt;CAT A</vt:lpstr>
      <vt:lpstr>Vertical PC2WE &gt;CAT A</vt:lpstr>
      <vt:lpstr>Clear Heliport PC1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Nest</dc:creator>
  <cp:lastModifiedBy>Rosenberg, Tony</cp:lastModifiedBy>
  <cp:lastPrinted>2013-08-18T02:50:21Z</cp:lastPrinted>
  <dcterms:created xsi:type="dcterms:W3CDTF">2013-07-27T22:34:03Z</dcterms:created>
  <dcterms:modified xsi:type="dcterms:W3CDTF">2021-03-16T02:00:20Z</dcterms:modified>
</cp:coreProperties>
</file>